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AmieBrown/Dropbox (SoDA)/SoDA/Projects/2. SoDA Doc/2. Master Doc/SERIES D/Salary Survey/2016 Salary Survey Docs_D601/"/>
    </mc:Choice>
  </mc:AlternateContent>
  <bookViews>
    <workbookView xWindow="25820" yWindow="-8860" windowWidth="38000" windowHeight="20440" tabRatio="748"/>
  </bookViews>
  <sheets>
    <sheet name="Respondent Demographics" sheetId="12" r:id="rId1"/>
    <sheet name="Median By FTEs" sheetId="11" r:id="rId2"/>
    <sheet name="Median By Region" sheetId="2" r:id="rId3"/>
    <sheet name="Median Per Region 2014-2016" sheetId="7" r:id="rId4"/>
    <sheet name="Median by Countries_States" sheetId="9" r:id="rId5"/>
    <sheet name="Incentives by Region" sheetId="18" r:id="rId6"/>
    <sheet name="Incentives by FTEs" sheetId="19" r:id="rId7"/>
    <sheet name="FX Variations" sheetId="17" state="hidden" r:id="rId8"/>
    <sheet name="Median Adjusted by FX 2014-16" sheetId="15" state="hidden" r:id="rId9"/>
  </sheets>
  <externalReferences>
    <externalReference r:id="rId10"/>
  </externalReferences>
  <definedNames>
    <definedName name="_xlnm.Print_Area" localSheetId="7">'FX Variations'!$A$1:$Q$56</definedName>
    <definedName name="_xlnm.Print_Area" localSheetId="6">'Incentives by FTEs'!$A$1:$D$93</definedName>
    <definedName name="_xlnm.Print_Area" localSheetId="5">'Incentives by Region'!$A$1:$F$93</definedName>
    <definedName name="_xlnm.Print_Area" localSheetId="8">'Median Adjusted by FX 2014-16'!$A$1:$Y$72</definedName>
    <definedName name="_xlnm.Print_Area" localSheetId="4">'Median by Countries_States'!$A$1:$H$71</definedName>
    <definedName name="_xlnm.Print_Area" localSheetId="1">'Median By FTEs'!$A$1:$F$99</definedName>
    <definedName name="_xlnm.Print_Area" localSheetId="2">'Median By Region'!$A$1:$F$104</definedName>
    <definedName name="_xlnm.Print_Area" localSheetId="3">'Median Per Region 2014-2016'!$A$1:$Y$44</definedName>
    <definedName name="_xlnm.Print_Area" localSheetId="0">'Respondent Demographics'!$A$1:$F$137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7" i="18" l="1"/>
  <c r="B77" i="18"/>
  <c r="F38" i="18"/>
  <c r="E38" i="18"/>
  <c r="C38" i="18"/>
  <c r="B38" i="18"/>
  <c r="F30" i="18"/>
  <c r="E30" i="18"/>
  <c r="C30" i="18"/>
  <c r="B30" i="18"/>
  <c r="F20" i="18"/>
  <c r="E20" i="18"/>
  <c r="C20" i="18"/>
  <c r="C17" i="18"/>
  <c r="C18" i="18"/>
  <c r="C19" i="18"/>
  <c r="C21" i="18"/>
  <c r="B20" i="18"/>
  <c r="B74" i="19"/>
  <c r="C38" i="19"/>
  <c r="D38" i="19"/>
  <c r="B38" i="19"/>
  <c r="D30" i="19"/>
  <c r="C30" i="19"/>
  <c r="D20" i="19"/>
  <c r="C20" i="19"/>
  <c r="B20" i="19"/>
  <c r="D17" i="19"/>
  <c r="D90" i="19"/>
  <c r="D89" i="19"/>
  <c r="C90" i="19"/>
  <c r="C89" i="19"/>
  <c r="B92" i="19"/>
  <c r="B90" i="19"/>
  <c r="B89" i="19"/>
  <c r="C93" i="19"/>
  <c r="D93" i="19"/>
  <c r="B93" i="19"/>
  <c r="D85" i="19"/>
  <c r="D84" i="19"/>
  <c r="C85" i="19"/>
  <c r="C84" i="19"/>
  <c r="C81" i="19"/>
  <c r="B85" i="19"/>
  <c r="B84" i="19"/>
  <c r="B83" i="19"/>
  <c r="B82" i="19"/>
  <c r="B81" i="19"/>
  <c r="D77" i="19"/>
  <c r="C77" i="19"/>
  <c r="C75" i="19"/>
  <c r="B77" i="19"/>
  <c r="B76" i="19"/>
  <c r="B75" i="19"/>
  <c r="B73" i="19"/>
  <c r="C86" i="19"/>
  <c r="D86" i="19"/>
  <c r="B86" i="19"/>
  <c r="C78" i="19"/>
  <c r="D78" i="19"/>
  <c r="B78" i="19"/>
  <c r="D59" i="19"/>
  <c r="D58" i="19"/>
  <c r="C60" i="19"/>
  <c r="C59" i="19"/>
  <c r="C58" i="19"/>
  <c r="B61" i="19"/>
  <c r="B60" i="19"/>
  <c r="B59" i="19"/>
  <c r="B58" i="19"/>
  <c r="C62" i="19"/>
  <c r="D62" i="19"/>
  <c r="B62" i="19"/>
  <c r="D53" i="19"/>
  <c r="D52" i="19"/>
  <c r="D51" i="19"/>
  <c r="D50" i="19"/>
  <c r="C53" i="19"/>
  <c r="C52" i="19"/>
  <c r="C51" i="19"/>
  <c r="C50" i="19"/>
  <c r="B54" i="19"/>
  <c r="B53" i="19"/>
  <c r="B51" i="19"/>
  <c r="B50" i="19"/>
  <c r="D46" i="19"/>
  <c r="D45" i="19"/>
  <c r="D44" i="19"/>
  <c r="D43" i="19"/>
  <c r="D42" i="19"/>
  <c r="C46" i="19"/>
  <c r="C45" i="19"/>
  <c r="C44" i="19"/>
  <c r="C42" i="19"/>
  <c r="B46" i="19"/>
  <c r="B45" i="19"/>
  <c r="B44" i="19"/>
  <c r="B43" i="19"/>
  <c r="B42" i="19"/>
  <c r="C55" i="19"/>
  <c r="D55" i="19"/>
  <c r="B55" i="19"/>
  <c r="C47" i="19"/>
  <c r="D47" i="19"/>
  <c r="B47" i="19"/>
  <c r="D37" i="19"/>
  <c r="D36" i="19"/>
  <c r="D35" i="19"/>
  <c r="C37" i="19"/>
  <c r="C36" i="19"/>
  <c r="C34" i="19"/>
  <c r="B37" i="19"/>
  <c r="B36" i="19"/>
  <c r="B35" i="19"/>
  <c r="B34" i="19"/>
  <c r="D28" i="19"/>
  <c r="D27" i="19"/>
  <c r="D26" i="19"/>
  <c r="D25" i="19"/>
  <c r="C29" i="19"/>
  <c r="C26" i="19"/>
  <c r="C25" i="19"/>
  <c r="C24" i="19"/>
  <c r="B29" i="19"/>
  <c r="B28" i="19"/>
  <c r="B27" i="19"/>
  <c r="B26" i="19"/>
  <c r="B25" i="19"/>
  <c r="B24" i="19"/>
  <c r="D18" i="19"/>
  <c r="C19" i="19"/>
  <c r="C18" i="19"/>
  <c r="C17" i="19"/>
  <c r="B19" i="19"/>
  <c r="B18" i="19"/>
  <c r="B17" i="19"/>
  <c r="F90" i="18"/>
  <c r="E90" i="18"/>
  <c r="E89" i="18"/>
  <c r="D89" i="18"/>
  <c r="C92" i="18"/>
  <c r="C90" i="18"/>
  <c r="C89" i="18"/>
  <c r="B92" i="18"/>
  <c r="B90" i="18"/>
  <c r="B89" i="18"/>
  <c r="F85" i="18"/>
  <c r="E85" i="18"/>
  <c r="E84" i="18"/>
  <c r="E82" i="18"/>
  <c r="E81" i="18"/>
  <c r="D85" i="18"/>
  <c r="D84" i="18"/>
  <c r="C85" i="18"/>
  <c r="C84" i="18"/>
  <c r="C83" i="18"/>
  <c r="C82" i="18"/>
  <c r="C81" i="18"/>
  <c r="B85" i="18"/>
  <c r="B84" i="18"/>
  <c r="B83" i="18"/>
  <c r="B82" i="18"/>
  <c r="B81" i="18"/>
  <c r="B86" i="18"/>
  <c r="F75" i="18"/>
  <c r="E74" i="18"/>
  <c r="E75" i="18"/>
  <c r="E73" i="18"/>
  <c r="D74" i="18"/>
  <c r="D75" i="18"/>
  <c r="C74" i="18"/>
  <c r="C76" i="18"/>
  <c r="C75" i="18"/>
  <c r="B74" i="18"/>
  <c r="B76" i="18"/>
  <c r="B75" i="18"/>
  <c r="B73" i="18"/>
  <c r="C86" i="18"/>
  <c r="D86" i="18"/>
  <c r="E86" i="18"/>
  <c r="F86" i="18"/>
  <c r="C93" i="18"/>
  <c r="D93" i="18"/>
  <c r="E93" i="18"/>
  <c r="F93" i="18"/>
  <c r="B93" i="18"/>
  <c r="E78" i="18"/>
  <c r="C78" i="18"/>
  <c r="D78" i="18"/>
  <c r="F78" i="18"/>
  <c r="B78" i="18"/>
  <c r="F58" i="18"/>
  <c r="E60" i="18"/>
  <c r="E59" i="18"/>
  <c r="E58" i="18"/>
  <c r="D60" i="18"/>
  <c r="D59" i="18"/>
  <c r="D58" i="18"/>
  <c r="C61" i="18"/>
  <c r="C60" i="18"/>
  <c r="C59" i="18"/>
  <c r="C58" i="18"/>
  <c r="B61" i="18"/>
  <c r="B60" i="18"/>
  <c r="B59" i="18"/>
  <c r="B58" i="18"/>
  <c r="C62" i="18"/>
  <c r="D62" i="18"/>
  <c r="E62" i="18"/>
  <c r="F62" i="18"/>
  <c r="B62" i="18"/>
  <c r="F45" i="18"/>
  <c r="F44" i="18"/>
  <c r="F43" i="18"/>
  <c r="F42" i="18"/>
  <c r="E46" i="18"/>
  <c r="E44" i="18"/>
  <c r="E43" i="18"/>
  <c r="E42" i="18"/>
  <c r="D45" i="18"/>
  <c r="D43" i="18"/>
  <c r="D42" i="18"/>
  <c r="C46" i="18"/>
  <c r="C45" i="18"/>
  <c r="C44" i="18"/>
  <c r="C43" i="18"/>
  <c r="C42" i="18"/>
  <c r="B45" i="18"/>
  <c r="B46" i="18"/>
  <c r="C47" i="18"/>
  <c r="D47" i="18"/>
  <c r="E47" i="18"/>
  <c r="F47" i="18"/>
  <c r="B42" i="18"/>
  <c r="B43" i="18"/>
  <c r="B44" i="18"/>
  <c r="B47" i="18"/>
  <c r="F53" i="18"/>
  <c r="F51" i="18"/>
  <c r="F50" i="18"/>
  <c r="E54" i="18"/>
  <c r="E53" i="18"/>
  <c r="E51" i="18"/>
  <c r="E50" i="18"/>
  <c r="D52" i="18"/>
  <c r="D50" i="18"/>
  <c r="C53" i="18"/>
  <c r="C52" i="18"/>
  <c r="C51" i="18"/>
  <c r="C50" i="18"/>
  <c r="C55" i="18"/>
  <c r="D55" i="18"/>
  <c r="E55" i="18"/>
  <c r="F55" i="18"/>
  <c r="B50" i="18"/>
  <c r="B51" i="18"/>
  <c r="B52" i="18"/>
  <c r="B53" i="18"/>
  <c r="B54" i="18"/>
  <c r="B55" i="18"/>
  <c r="F37" i="18"/>
  <c r="F36" i="18"/>
  <c r="E37" i="18"/>
  <c r="E36" i="18"/>
  <c r="E35" i="18"/>
  <c r="D36" i="18"/>
  <c r="C37" i="18"/>
  <c r="C36" i="18"/>
  <c r="C35" i="18"/>
  <c r="C34" i="18"/>
  <c r="B37" i="18"/>
  <c r="B36" i="18"/>
  <c r="B35" i="18"/>
  <c r="B34" i="18"/>
  <c r="F27" i="18"/>
  <c r="F26" i="18"/>
  <c r="F25" i="18"/>
  <c r="E29" i="18"/>
  <c r="E27" i="18"/>
  <c r="E26" i="18"/>
  <c r="E25" i="18"/>
  <c r="E24" i="18"/>
  <c r="D28" i="18"/>
  <c r="D26" i="18"/>
  <c r="D25" i="18"/>
  <c r="C29" i="18"/>
  <c r="C28" i="18"/>
  <c r="C26" i="18"/>
  <c r="C25" i="18"/>
  <c r="C24" i="18"/>
  <c r="B29" i="18"/>
  <c r="B28" i="18"/>
  <c r="B27" i="18"/>
  <c r="B26" i="18"/>
  <c r="B25" i="18"/>
  <c r="B24" i="18"/>
  <c r="F18" i="18"/>
  <c r="F17" i="18"/>
  <c r="E17" i="18"/>
  <c r="D19" i="18"/>
  <c r="D18" i="18"/>
  <c r="D17" i="18"/>
  <c r="B19" i="18"/>
  <c r="B18" i="18"/>
  <c r="B17" i="18"/>
  <c r="C69" i="19"/>
  <c r="C68" i="19"/>
  <c r="C67" i="19"/>
  <c r="B69" i="19"/>
  <c r="B68" i="19"/>
  <c r="B67" i="19"/>
  <c r="C12" i="19"/>
  <c r="C13" i="19"/>
  <c r="C11" i="19"/>
  <c r="B21" i="19"/>
  <c r="B12" i="19"/>
  <c r="B13" i="19"/>
  <c r="B11" i="19"/>
  <c r="D69" i="19"/>
  <c r="D68" i="19"/>
  <c r="D67" i="19"/>
  <c r="D12" i="19"/>
  <c r="D13" i="19"/>
  <c r="D11" i="19"/>
  <c r="D70" i="19"/>
  <c r="C70" i="19"/>
  <c r="B70" i="19"/>
  <c r="D39" i="19"/>
  <c r="C39" i="19"/>
  <c r="B39" i="19"/>
  <c r="D31" i="19"/>
  <c r="C31" i="19"/>
  <c r="B31" i="19"/>
  <c r="D21" i="19"/>
  <c r="C21" i="19"/>
  <c r="D14" i="19"/>
  <c r="C14" i="19"/>
  <c r="B14" i="19"/>
  <c r="F69" i="18"/>
  <c r="F67" i="18"/>
  <c r="E68" i="18"/>
  <c r="E67" i="18"/>
  <c r="D69" i="18"/>
  <c r="D68" i="18"/>
  <c r="D67" i="18"/>
  <c r="C69" i="18"/>
  <c r="C68" i="18"/>
  <c r="C67" i="18"/>
  <c r="B69" i="18"/>
  <c r="B68" i="18"/>
  <c r="B67" i="18"/>
  <c r="C70" i="18"/>
  <c r="D70" i="18"/>
  <c r="E70" i="18"/>
  <c r="F70" i="18"/>
  <c r="B70" i="18"/>
  <c r="C39" i="18"/>
  <c r="D39" i="18"/>
  <c r="E39" i="18"/>
  <c r="F39" i="18"/>
  <c r="B39" i="18"/>
  <c r="C31" i="18"/>
  <c r="D31" i="18"/>
  <c r="E31" i="18"/>
  <c r="F31" i="18"/>
  <c r="B31" i="18"/>
  <c r="D21" i="18"/>
  <c r="E21" i="18"/>
  <c r="F21" i="18"/>
  <c r="B21" i="18"/>
  <c r="B11" i="18"/>
  <c r="B12" i="18"/>
  <c r="B13" i="18"/>
  <c r="B14" i="18"/>
  <c r="C11" i="18"/>
  <c r="C12" i="18"/>
  <c r="C13" i="18"/>
  <c r="C14" i="18"/>
  <c r="D11" i="18"/>
  <c r="D12" i="18"/>
  <c r="D13" i="18"/>
  <c r="D14" i="18"/>
  <c r="E11" i="18"/>
  <c r="E12" i="18"/>
  <c r="E13" i="18"/>
  <c r="E14" i="18"/>
  <c r="F11" i="18"/>
  <c r="F12" i="18"/>
  <c r="F13" i="18"/>
  <c r="F14" i="18"/>
  <c r="C23" i="7"/>
  <c r="C22" i="7"/>
  <c r="C21" i="7"/>
  <c r="C19" i="7"/>
  <c r="C17" i="7"/>
  <c r="C16" i="7"/>
  <c r="P21" i="12"/>
  <c r="P20" i="12"/>
  <c r="K21" i="12"/>
  <c r="J21" i="12"/>
  <c r="J20" i="12"/>
  <c r="I20" i="12"/>
  <c r="I21" i="12"/>
  <c r="H21" i="12"/>
  <c r="H20" i="12"/>
  <c r="K20" i="12"/>
  <c r="N21" i="12"/>
  <c r="N20" i="12"/>
  <c r="K12" i="12"/>
  <c r="N12" i="12"/>
  <c r="K13" i="12"/>
  <c r="O13" i="12"/>
  <c r="N13" i="12"/>
  <c r="M9" i="12"/>
  <c r="L9" i="12"/>
  <c r="K9" i="12"/>
  <c r="J9" i="12"/>
  <c r="I9" i="12"/>
  <c r="H9" i="12"/>
  <c r="P13" i="12"/>
  <c r="Q13" i="12"/>
  <c r="O12" i="12"/>
  <c r="P12" i="12"/>
  <c r="Q12" i="12"/>
  <c r="I31" i="11"/>
  <c r="I33" i="11"/>
  <c r="I34" i="11"/>
  <c r="I36" i="11"/>
  <c r="I35" i="11"/>
</calcChain>
</file>

<file path=xl/comments1.xml><?xml version="1.0" encoding="utf-8"?>
<comments xmlns="http://schemas.openxmlformats.org/spreadsheetml/2006/main">
  <authors>
    <author>Amie Brown</author>
  </authors>
  <commentList>
    <comment ref="AA30" authorId="0">
      <text>
        <r>
          <rPr>
            <b/>
            <sz val="10"/>
            <color indexed="81"/>
            <rFont val="ArialNarrow"/>
          </rPr>
          <t>Amie Brown:</t>
        </r>
        <r>
          <rPr>
            <sz val="10"/>
            <color indexed="81"/>
            <rFont val="ArialNarrow"/>
          </rPr>
          <t xml:space="preserve">
No responses for Sr. Graphic Desiger</t>
        </r>
      </text>
    </comment>
    <comment ref="AA31" authorId="0">
      <text>
        <r>
          <rPr>
            <b/>
            <sz val="10"/>
            <color indexed="81"/>
            <rFont val="ArialNarrow"/>
          </rPr>
          <t>Amie Brown:</t>
        </r>
        <r>
          <rPr>
            <sz val="10"/>
            <color indexed="81"/>
            <rFont val="ArialNarrow"/>
          </rPr>
          <t xml:space="preserve">
No responses for Graphic Desiger</t>
        </r>
      </text>
    </comment>
  </commentList>
</comments>
</file>

<file path=xl/sharedStrings.xml><?xml version="1.0" encoding="utf-8"?>
<sst xmlns="http://schemas.openxmlformats.org/spreadsheetml/2006/main" count="2591" uniqueCount="339">
  <si>
    <t>Departments/Position Titles</t>
  </si>
  <si>
    <t xml:space="preserve">Account Director </t>
  </si>
  <si>
    <t xml:space="preserve">Account Manager </t>
  </si>
  <si>
    <t xml:space="preserve">Executive Producer </t>
  </si>
  <si>
    <t>Project Coordinator</t>
  </si>
  <si>
    <t>Administration</t>
  </si>
  <si>
    <t xml:space="preserve">Controller </t>
  </si>
  <si>
    <t>HR Director</t>
  </si>
  <si>
    <t>Business Development</t>
  </si>
  <si>
    <t>Creative/User Experience</t>
  </si>
  <si>
    <t>Copywriter</t>
  </si>
  <si>
    <t>Graphic Designer</t>
  </si>
  <si>
    <t>Sr. Graphic Designer</t>
  </si>
  <si>
    <t>Analyst</t>
  </si>
  <si>
    <t>Media Planner</t>
  </si>
  <si>
    <t>VP of Media</t>
  </si>
  <si>
    <t>Social Media</t>
  </si>
  <si>
    <t>Community Manager</t>
  </si>
  <si>
    <t>Social Media Director</t>
  </si>
  <si>
    <t>Strategy</t>
  </si>
  <si>
    <t>Senior Strategist</t>
  </si>
  <si>
    <t>Strategist</t>
  </si>
  <si>
    <t>Technology</t>
  </si>
  <si>
    <t>Back-End Developer</t>
  </si>
  <si>
    <t>Director of Technology</t>
  </si>
  <si>
    <t>Front-End Developer</t>
  </si>
  <si>
    <t>Quality Assurance Manager</t>
  </si>
  <si>
    <t>Sr. Back-End Developer</t>
  </si>
  <si>
    <t>Sr. Front-End Developer</t>
  </si>
  <si>
    <t>Technical Architect</t>
  </si>
  <si>
    <t>NA</t>
  </si>
  <si>
    <t>California</t>
  </si>
  <si>
    <t>New York</t>
  </si>
  <si>
    <t>Canada</t>
  </si>
  <si>
    <t>The Netherlands</t>
  </si>
  <si>
    <t>United Kingdom</t>
  </si>
  <si>
    <t>Global</t>
  </si>
  <si>
    <t>$201,000 - $250,000</t>
  </si>
  <si>
    <t>$126,000 - $150,000</t>
  </si>
  <si>
    <t>$91,000 - $100,000</t>
  </si>
  <si>
    <t>$71,000 - $80,000</t>
  </si>
  <si>
    <t>$51,000 - $60,000</t>
  </si>
  <si>
    <t>$111,000 - $125,000</t>
  </si>
  <si>
    <t>$81,000 - $90,000</t>
  </si>
  <si>
    <t>$31,000 - $40,000</t>
  </si>
  <si>
    <t>$151,000 - $175,000</t>
  </si>
  <si>
    <t>$41,000 - $50,000</t>
  </si>
  <si>
    <t>$61,000 - $70,000</t>
  </si>
  <si>
    <t>$101,000 - $110,000</t>
  </si>
  <si>
    <t>$176,000 - $200,000</t>
  </si>
  <si>
    <t>Trend</t>
  </si>
  <si>
    <t>UP</t>
  </si>
  <si>
    <t>STABLE</t>
  </si>
  <si>
    <t>DOWN</t>
  </si>
  <si>
    <t>KEY:</t>
  </si>
  <si>
    <t>Highest salary range for a position</t>
  </si>
  <si>
    <t>Lowest salary range for a position</t>
  </si>
  <si>
    <t>&lt;$30,000</t>
  </si>
  <si>
    <t>Salaries for this position UP YOY</t>
  </si>
  <si>
    <t>Salaries for this position DOWN YOY</t>
  </si>
  <si>
    <t>Salaries for this position STABLE YOY</t>
  </si>
  <si>
    <t>North America</t>
  </si>
  <si>
    <t>Europe</t>
  </si>
  <si>
    <t>Australia</t>
  </si>
  <si>
    <t>Median Salary Ranges for Select Geographies (by Position)</t>
  </si>
  <si>
    <t>Median Salary Ranges by Region</t>
  </si>
  <si>
    <t>$126,000 -$150,000</t>
  </si>
  <si>
    <t>NA = Zero or insufficient number of responses</t>
  </si>
  <si>
    <t>South America</t>
  </si>
  <si>
    <t xml:space="preserve">Director of Project Management </t>
  </si>
  <si>
    <t>Chief Financial Officer</t>
  </si>
  <si>
    <t>COO</t>
  </si>
  <si>
    <t>Interns</t>
  </si>
  <si>
    <t>Director of Business Development</t>
  </si>
  <si>
    <t>Director of Marketing / Communications</t>
  </si>
  <si>
    <t>Marketing Manager</t>
  </si>
  <si>
    <t>New Business Manager</t>
  </si>
  <si>
    <t>New Business / Marketing Coordinator</t>
  </si>
  <si>
    <t xml:space="preserve">VP of Experience Design / User Experience </t>
  </si>
  <si>
    <t xml:space="preserve">Creative Director </t>
  </si>
  <si>
    <t xml:space="preserve">Associate Creative Director </t>
  </si>
  <si>
    <t>Art Director</t>
  </si>
  <si>
    <t xml:space="preserve">Sr. Experience Designer / Sr. Interaction Designer </t>
  </si>
  <si>
    <t xml:space="preserve">Experience Designer </t>
  </si>
  <si>
    <t xml:space="preserve">Sr. Graphic Designer </t>
  </si>
  <si>
    <t xml:space="preserve">Graphic Designer </t>
  </si>
  <si>
    <t xml:space="preserve">Content Strategist </t>
  </si>
  <si>
    <t xml:space="preserve">Copywriter </t>
  </si>
  <si>
    <t xml:space="preserve">Motion Graphics / 3D Designer </t>
  </si>
  <si>
    <t>Chief Technology Officer / VP of Technology</t>
  </si>
  <si>
    <t>Systems Architect</t>
  </si>
  <si>
    <t>Quality Assurance Technician</t>
  </si>
  <si>
    <t>Director of Operations</t>
  </si>
  <si>
    <t>$111,000 - $125,00</t>
  </si>
  <si>
    <t>Median Salary Ranges by FTEs</t>
  </si>
  <si>
    <t>&lt; 50 FTEs</t>
  </si>
  <si>
    <t>Controller</t>
  </si>
  <si>
    <t>Sr. Social Media Manager</t>
  </si>
  <si>
    <t>Program Manager / Project Manager / Producer</t>
  </si>
  <si>
    <t>VP Account Management / VP Client Services</t>
  </si>
  <si>
    <t xml:space="preserve">Senior Producer /Senior Project Manager </t>
  </si>
  <si>
    <t xml:space="preserve">Chief Creative Officer /Executive Creative Director </t>
  </si>
  <si>
    <t>Director of Analytics / Senior Analyst</t>
  </si>
  <si>
    <t>Account Management / Project Management</t>
  </si>
  <si>
    <t>Creative / User Experience</t>
  </si>
  <si>
    <t>Measurement / Analytics</t>
  </si>
  <si>
    <t>Partners / CEOs / Managing Director</t>
  </si>
  <si>
    <t>Media</t>
  </si>
  <si>
    <t>VP / Director of Strategy</t>
  </si>
  <si>
    <t>Departments / Position Titles</t>
  </si>
  <si>
    <t>Account Management / Client Services</t>
  </si>
  <si>
    <t>Chief Creative Officer / Executive Creative Director</t>
  </si>
  <si>
    <t>$12/hr.</t>
  </si>
  <si>
    <t>$15/hr.</t>
  </si>
  <si>
    <t>$10/hr.</t>
  </si>
  <si>
    <t>$71,000 -$80,000</t>
  </si>
  <si>
    <t>United States</t>
  </si>
  <si>
    <t>Australasia</t>
  </si>
  <si>
    <t>Latin America</t>
  </si>
  <si>
    <t>Document D501</t>
  </si>
  <si>
    <t>51 - 100 FTEs</t>
  </si>
  <si>
    <t>101+ FTEs</t>
  </si>
  <si>
    <t>$251,000+</t>
  </si>
  <si>
    <t>Sound Designer</t>
  </si>
  <si>
    <t>$0 - $30,000</t>
  </si>
  <si>
    <t>Mobile Developer</t>
  </si>
  <si>
    <t>$071,000 - $80,000</t>
  </si>
  <si>
    <t>$081,000 - $90,000</t>
  </si>
  <si>
    <t>$091,000 - $100,000</t>
  </si>
  <si>
    <t>$051,000 - $60,000</t>
  </si>
  <si>
    <t>N/A</t>
  </si>
  <si>
    <t>$15 per hour</t>
  </si>
  <si>
    <t>$20 per hour</t>
  </si>
  <si>
    <t>Annual Salary Survey: Results released Mar 2016; Survey conducted Jan-Feb 2016</t>
  </si>
  <si>
    <t>US/Canada</t>
  </si>
  <si>
    <t>Asia</t>
  </si>
  <si>
    <t>Africa</t>
  </si>
  <si>
    <t>Australia / New Zealand</t>
  </si>
  <si>
    <t>Total</t>
  </si>
  <si>
    <t>n=68</t>
  </si>
  <si>
    <t>n=88</t>
  </si>
  <si>
    <t>100+</t>
  </si>
  <si>
    <t>0-50</t>
  </si>
  <si>
    <t>51-100</t>
  </si>
  <si>
    <t>Other</t>
  </si>
  <si>
    <t>USD/EUR</t>
  </si>
  <si>
    <t>USD/AUD</t>
  </si>
  <si>
    <t>USD/CAD</t>
  </si>
  <si>
    <t>USD/BRL</t>
  </si>
  <si>
    <t>Midpoint</t>
  </si>
  <si>
    <t>Salary Survey Respondents by Region</t>
  </si>
  <si>
    <t>Salary Survey Respondents by FTEs
(No. of Respondents)</t>
  </si>
  <si>
    <t>Respondent Demographics</t>
  </si>
  <si>
    <t>FX Variations for Select Markets</t>
  </si>
  <si>
    <t>The Netherlands (in Euros)</t>
  </si>
  <si>
    <t>Australia (in AUD)</t>
  </si>
  <si>
    <t>Canada (in CAD)</t>
  </si>
  <si>
    <t>The Midpoint FX Calculations</t>
  </si>
  <si>
    <t>USD/GBP</t>
  </si>
  <si>
    <t>£9,816</t>
  </si>
  <si>
    <t>£9,111</t>
  </si>
  <si>
    <t>£23,230</t>
  </si>
  <si>
    <t>£21,563</t>
  </si>
  <si>
    <t>£29,774</t>
  </si>
  <si>
    <t>£27,637</t>
  </si>
  <si>
    <t>£36,318</t>
  </si>
  <si>
    <t>£33,711</t>
  </si>
  <si>
    <t>£42,862</t>
  </si>
  <si>
    <t>£39,785</t>
  </si>
  <si>
    <t>£49,406</t>
  </si>
  <si>
    <t>£45,859</t>
  </si>
  <si>
    <t>£55,949</t>
  </si>
  <si>
    <t>£51,933</t>
  </si>
  <si>
    <t>£62,493</t>
  </si>
  <si>
    <t>£58,007</t>
  </si>
  <si>
    <t>£69,037</t>
  </si>
  <si>
    <t>£64,081</t>
  </si>
  <si>
    <t>£77,217</t>
  </si>
  <si>
    <t>£71,674</t>
  </si>
  <si>
    <t>£90,304</t>
  </si>
  <si>
    <t>£83,822</t>
  </si>
  <si>
    <t>£106,664</t>
  </si>
  <si>
    <t>£99,007</t>
  </si>
  <si>
    <t>£123,023</t>
  </si>
  <si>
    <t>£114,193</t>
  </si>
  <si>
    <t>£147,562</t>
  </si>
  <si>
    <t>£136,970</t>
  </si>
  <si>
    <t>£164,249</t>
  </si>
  <si>
    <t>£152,459</t>
  </si>
  <si>
    <t>£7</t>
  </si>
  <si>
    <t>£6</t>
  </si>
  <si>
    <t>£8</t>
  </si>
  <si>
    <t>£10</t>
  </si>
  <si>
    <t>£9</t>
  </si>
  <si>
    <t>United Kingdom (in Pound Sterling)</t>
  </si>
  <si>
    <t>Brazil (in Reais)</t>
  </si>
  <si>
    <r>
      <rPr>
        <b/>
        <sz val="10"/>
        <rFont val="Source Sans Pro"/>
        <family val="2"/>
      </rPr>
      <t>Note</t>
    </r>
    <r>
      <rPr>
        <sz val="10"/>
        <rFont val="Source Sans Pro"/>
        <family val="2"/>
      </rPr>
      <t xml:space="preserve">: The </t>
    </r>
    <r>
      <rPr>
        <b/>
        <sz val="10"/>
        <rFont val="Source Sans Pro"/>
        <family val="2"/>
      </rPr>
      <t>Median</t>
    </r>
    <r>
      <rPr>
        <sz val="10"/>
        <rFont val="Source Sans Pro"/>
        <family val="2"/>
      </rPr>
      <t xml:space="preserve"> is the "middle number" (in a sorted list of numbers). In the SoDA Salary Survey, it refers to the salary range that was in the middle of all responses for a particular position when sorted from lowest to highest.</t>
    </r>
  </si>
  <si>
    <r>
      <rPr>
        <b/>
        <sz val="10"/>
        <rFont val="Source Sans Pro"/>
        <family val="2"/>
      </rPr>
      <t>Note</t>
    </r>
    <r>
      <rPr>
        <sz val="10"/>
        <rFont val="Source Sans Pro"/>
        <family val="2"/>
      </rPr>
      <t xml:space="preserve">: </t>
    </r>
    <r>
      <rPr>
        <b/>
        <u/>
        <sz val="10"/>
        <rFont val="Source Sans Pro"/>
        <family val="2"/>
      </rPr>
      <t>To control for FX fluctuations, SoDA calculated the midpoint in the median salary range and then applied the average FX rate in that year for each currency</t>
    </r>
    <r>
      <rPr>
        <b/>
        <sz val="10"/>
        <rFont val="Source Sans Pro"/>
        <family val="2"/>
      </rPr>
      <t xml:space="preserve">. </t>
    </r>
    <r>
      <rPr>
        <sz val="10"/>
        <rFont val="Source Sans Pro"/>
        <family val="2"/>
      </rPr>
      <t xml:space="preserve">
The </t>
    </r>
    <r>
      <rPr>
        <b/>
        <sz val="10"/>
        <rFont val="Source Sans Pro"/>
        <family val="2"/>
      </rPr>
      <t>Median</t>
    </r>
    <r>
      <rPr>
        <sz val="10"/>
        <rFont val="Source Sans Pro"/>
        <family val="2"/>
      </rPr>
      <t xml:space="preserve"> is the "middle number" (in a sorted list of numbers). In the SoDA Salary Survey, it refers to the salary range that was in the middle of all responses for a particular position when sorted from lowest to highest.</t>
    </r>
  </si>
  <si>
    <r>
      <rPr>
        <b/>
        <sz val="11"/>
        <color theme="1"/>
        <rFont val="Calibri"/>
        <family val="2"/>
        <scheme val="minor"/>
      </rPr>
      <t>Euro:</t>
    </r>
    <r>
      <rPr>
        <sz val="11"/>
        <color theme="1"/>
        <rFont val="Calibri"/>
        <family val="2"/>
        <scheme val="minor"/>
      </rPr>
      <t xml:space="preserve">  19.6% Depreciation vs USD in 2015</t>
    </r>
  </si>
  <si>
    <r>
      <rPr>
        <b/>
        <sz val="11"/>
        <color theme="1"/>
        <rFont val="Calibri"/>
        <family val="2"/>
        <scheme val="minor"/>
      </rPr>
      <t>Brazilian Real</t>
    </r>
    <r>
      <rPr>
        <sz val="11"/>
        <color theme="1"/>
        <rFont val="Calibri"/>
        <family val="2"/>
        <scheme val="minor"/>
      </rPr>
      <t>:  42% Depreciation vs USD in 2015</t>
    </r>
  </si>
  <si>
    <r>
      <rPr>
        <b/>
        <sz val="11"/>
        <color theme="1"/>
        <rFont val="Calibri"/>
        <family val="2"/>
        <scheme val="minor"/>
      </rPr>
      <t>Canadian Dollar</t>
    </r>
    <r>
      <rPr>
        <sz val="11"/>
        <color theme="1"/>
        <rFont val="Calibri"/>
        <family val="2"/>
        <scheme val="minor"/>
      </rPr>
      <t>: 16% Depreciation vs USD in 2015</t>
    </r>
  </si>
  <si>
    <r>
      <rPr>
        <b/>
        <sz val="11"/>
        <color theme="1"/>
        <rFont val="Calibri"/>
        <family val="2"/>
        <scheme val="minor"/>
      </rPr>
      <t>Australian Dollar</t>
    </r>
    <r>
      <rPr>
        <sz val="11"/>
        <color theme="1"/>
        <rFont val="Calibri"/>
        <family val="2"/>
        <scheme val="minor"/>
      </rPr>
      <t>: 20% Depreciation vs USD in 2015</t>
    </r>
  </si>
  <si>
    <r>
      <rPr>
        <b/>
        <sz val="10"/>
        <rFont val="Source Sans Pro"/>
        <family val="2"/>
      </rPr>
      <t>Note</t>
    </r>
    <r>
      <rPr>
        <sz val="10"/>
        <rFont val="Source Sans Pro"/>
        <family val="2"/>
      </rPr>
      <t xml:space="preserve">: The </t>
    </r>
    <r>
      <rPr>
        <b/>
        <sz val="10"/>
        <rFont val="Source Sans Pro"/>
        <family val="2"/>
      </rPr>
      <t>Median</t>
    </r>
    <r>
      <rPr>
        <sz val="10"/>
        <rFont val="Source Sans Pro"/>
        <family val="2"/>
      </rPr>
      <t xml:space="preserve"> is the "middle number" (in a sorted list of numbers). In the SoDA Salary Survey, it refers to the salary range that was in the middle of all responses for a particular position when sorted from lowest to highest.  </t>
    </r>
    <r>
      <rPr>
        <b/>
        <sz val="10"/>
        <rFont val="Source Sans Pro"/>
        <family val="2"/>
      </rPr>
      <t>The salary range categories are noted at the bottom of this worksheet</t>
    </r>
    <r>
      <rPr>
        <sz val="10"/>
        <rFont val="Source Sans Pro"/>
        <family val="2"/>
      </rPr>
      <t>.</t>
    </r>
  </si>
  <si>
    <t xml:space="preserve">                                        Document D601</t>
  </si>
  <si>
    <r>
      <t xml:space="preserve">                                                                                           </t>
    </r>
    <r>
      <rPr>
        <sz val="11"/>
        <rFont val="Source Sans Pro"/>
        <family val="2"/>
      </rPr>
      <t>Annual Salary Survey: Results released Mar 2017; Survey conducted Jan-Feb 2017</t>
    </r>
  </si>
  <si>
    <t>Salary Survey Respondents by Size and Region (US vs. Rest of World)
(2015 vs 2016)</t>
  </si>
  <si>
    <t>Total Respondents</t>
  </si>
  <si>
    <t>Document D601</t>
  </si>
  <si>
    <t>Median Salary Ranges by Region (2014 - 2016)</t>
  </si>
  <si>
    <t>Median Salary Ranges for Select Markets Adjusted for Exchange Rates (2014 - 2016)</t>
  </si>
  <si>
    <t>$126K-$150K</t>
  </si>
  <si>
    <t>$091,000-$100,000</t>
  </si>
  <si>
    <t>$061,000-$70,000</t>
  </si>
  <si>
    <t>$071,000-$80,000</t>
  </si>
  <si>
    <t>$041,000-$50,000</t>
  </si>
  <si>
    <t>$176K-$200K</t>
  </si>
  <si>
    <t>$111K-$125K</t>
  </si>
  <si>
    <t>$051,000-$60,000</t>
  </si>
  <si>
    <t>$081,000-$90,000</t>
  </si>
  <si>
    <t>$151K-$175K</t>
  </si>
  <si>
    <t>$101K-$110K</t>
  </si>
  <si>
    <t>$12 per hour</t>
  </si>
  <si>
    <t>$031,000-$40,000</t>
  </si>
  <si>
    <t>$251K+</t>
  </si>
  <si>
    <t>$201K-$250K</t>
  </si>
  <si>
    <t xml:space="preserve">Sr. Designer </t>
  </si>
  <si>
    <t xml:space="preserve">Designer </t>
  </si>
  <si>
    <t>No</t>
  </si>
  <si>
    <t>Annually</t>
  </si>
  <si>
    <t>Quarterly</t>
  </si>
  <si>
    <t>Semi-annually</t>
  </si>
  <si>
    <t>Yes-but only some employees are eligible</t>
  </si>
  <si>
    <t>Yes-all full-time employees are eligible</t>
  </si>
  <si>
    <t>Global (77)</t>
  </si>
  <si>
    <t>North America (52)</t>
  </si>
  <si>
    <t>South America (6)</t>
  </si>
  <si>
    <t>Europe (12)</t>
  </si>
  <si>
    <t>Australasia (7)</t>
  </si>
  <si>
    <t>A specific formula combining several quantitative criteria</t>
  </si>
  <si>
    <t>A specific formula using both quantitative and qualitative criteria</t>
  </si>
  <si>
    <t>As a percentage of profit (assuming profitability targets were achieved)</t>
  </si>
  <si>
    <t>As a percentage of revenue (assuming revenue targets were achieved)</t>
  </si>
  <si>
    <t>As a percentage of total salaries</t>
  </si>
  <si>
    <t>No specific formula</t>
  </si>
  <si>
    <t>A formula based entirely on qualitative performance review measures</t>
  </si>
  <si>
    <t>A formula based entirely on quantitative performance review measures</t>
  </si>
  <si>
    <t>A formula based on a combination of quantitative and qualitative performance review measures</t>
  </si>
  <si>
    <t>No specific formula (e.g. based on a review and recommendation of department head / manager)</t>
  </si>
  <si>
    <t>Other (please specify):</t>
  </si>
  <si>
    <t>1-5%</t>
  </si>
  <si>
    <t>6-10%</t>
  </si>
  <si>
    <t>11-15%</t>
  </si>
  <si>
    <t>16-20%</t>
  </si>
  <si>
    <t>20%+</t>
  </si>
  <si>
    <t>Greater than 15%</t>
  </si>
  <si>
    <t>Direct stock</t>
  </si>
  <si>
    <t>Phantom Stock / Stock Appreciation Rights</t>
  </si>
  <si>
    <t>Restricted Stock</t>
  </si>
  <si>
    <t>Stock options</t>
  </si>
  <si>
    <t>Fully vested immediately</t>
  </si>
  <si>
    <t>Fully vested in 1 year</t>
  </si>
  <si>
    <t>Fully vested in 2 years</t>
  </si>
  <si>
    <t>Fully vested in 3 years</t>
  </si>
  <si>
    <t>Vesting period greater than 3 years</t>
  </si>
  <si>
    <t>Less than 10%</t>
  </si>
  <si>
    <t>Greater than 50%</t>
  </si>
  <si>
    <t>&lt; 50 FTEs (50)</t>
  </si>
  <si>
    <t>51-100 FTEs (16)</t>
  </si>
  <si>
    <t>100+ FTEs (11)</t>
  </si>
  <si>
    <t>VP / Managing Director</t>
  </si>
  <si>
    <t>Office Manager</t>
  </si>
  <si>
    <t>Chief Relationship Officer / Chief Growth Officer</t>
  </si>
  <si>
    <t>Chief Revenue Officer / Chief Marketing Officer</t>
  </si>
  <si>
    <t>VP of Business Development</t>
  </si>
  <si>
    <t>VP of Marketing / Communications</t>
  </si>
  <si>
    <t>Chief Strategy Officer</t>
  </si>
  <si>
    <t>Director of Strategy</t>
  </si>
  <si>
    <t>VP of Strategy</t>
  </si>
  <si>
    <t>VP of Analytics</t>
  </si>
  <si>
    <t>Senior Analyst</t>
  </si>
  <si>
    <t>Director of Analytics</t>
  </si>
  <si>
    <t>VP of Social Media</t>
  </si>
  <si>
    <t>Director of Social Media</t>
  </si>
  <si>
    <t>Executive Creative Director</t>
  </si>
  <si>
    <t>Chief Creative Officer</t>
  </si>
  <si>
    <t>Creative Director / Design Director</t>
  </si>
  <si>
    <t>Director of Experience Design / User Experience</t>
  </si>
  <si>
    <t>Sr. UX Strategist</t>
  </si>
  <si>
    <t>UX Strategist</t>
  </si>
  <si>
    <t>Sr. UX Designer</t>
  </si>
  <si>
    <t>UX Designer</t>
  </si>
  <si>
    <t>Sr. Content Strategist</t>
  </si>
  <si>
    <t>User Experience</t>
  </si>
  <si>
    <t>Creative</t>
  </si>
  <si>
    <t>VP of Technology</t>
  </si>
  <si>
    <t>Chief Technology Officer</t>
  </si>
  <si>
    <t>Jr. Developer</t>
  </si>
  <si>
    <t>Systems Administrator / Dev Ops</t>
  </si>
  <si>
    <t>Director of Media</t>
  </si>
  <si>
    <t>Senior Media Planner</t>
  </si>
  <si>
    <t>Sr. Search Analyst (paid and/or organic)</t>
  </si>
  <si>
    <t>Search Analyst (paid and/or organic)</t>
  </si>
  <si>
    <t>&lt;$30K</t>
  </si>
  <si>
    <t>CEO / Partner / President</t>
  </si>
  <si>
    <t>Annual Salary Survey: Results released Apr 2017; Survey conducted Jan-Feb 2017</t>
  </si>
  <si>
    <t>Incentives By FTEs</t>
  </si>
  <si>
    <t>Do you currently offer a bonus program (cash bonuses excluding sales commissions, stock or other non-cash incentives) in addition to annual salaries?</t>
  </si>
  <si>
    <t>What percentage of ownership are you planning to allocate to employees (excluding founders and investors)?</t>
  </si>
  <si>
    <t>What is the average vesting period of your employee equity incentives?</t>
  </si>
  <si>
    <t>What mechanism are you using to grant an ownership incentive to your employees?</t>
  </si>
  <si>
    <t>What was the total amount of bonuses paid in 2016 as a percentage of total 2016 salaries?</t>
  </si>
  <si>
    <t>For your senior leads, what is the average bonus potential as a percentage of annual salary?</t>
  </si>
  <si>
    <t>For your management team, what is the average bonus potential as a percentage of annual salary?</t>
  </si>
  <si>
    <t>How do you allocate individual employee bonuses?</t>
  </si>
  <si>
    <t>How do you allocate the total annual bonus pool?</t>
  </si>
  <si>
    <t xml:space="preserve">How often are bonuses assessed and paid out? </t>
  </si>
  <si>
    <t>Global (61)</t>
  </si>
  <si>
    <t>North America (40)</t>
  </si>
  <si>
    <t>South America (5)</t>
  </si>
  <si>
    <t>Europe (11)</t>
  </si>
  <si>
    <t>Australasia (5)</t>
  </si>
  <si>
    <t>Global (24)</t>
  </si>
  <si>
    <t>North America (16)</t>
  </si>
  <si>
    <t>South America (2)</t>
  </si>
  <si>
    <t>Australasia (1)</t>
  </si>
  <si>
    <t>Europe (5)</t>
  </si>
  <si>
    <t>51-100 FTEs (15)</t>
  </si>
  <si>
    <t>100+ FTEs (9)</t>
  </si>
  <si>
    <t>&lt; 50 FTEs (37)</t>
  </si>
  <si>
    <t>&lt; 50 FTEs (16)</t>
  </si>
  <si>
    <t>51-100 FTEs (6)</t>
  </si>
  <si>
    <t>100+ FTEs (2)</t>
  </si>
  <si>
    <t>Bonus Incentives</t>
  </si>
  <si>
    <t>Equity / Ownership Incentives</t>
  </si>
  <si>
    <t>Do you currently offer an opportunity for employees (other than founders/investors) to be granted ownership in the agency?</t>
  </si>
  <si>
    <t>26-50%</t>
  </si>
  <si>
    <t>11-25%</t>
  </si>
  <si>
    <t>Annual Salary Survey:
Results released Apr 2017; Survey conducted Jan-Feb 2017</t>
  </si>
  <si>
    <t>Note: The Median is the "middle number" (in a sorted list of numbers). In the SoDA Salary Survey, it refers to the salary range that was in the middle of all responses for a particular position when sorted from lowest to highest.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</si>
</sst>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&quot;$&quot;#,##0"/>
    <numFmt numFmtId="165" formatCode="[$€-2]\ #,##0"/>
    <numFmt numFmtId="166" formatCode="[$$-C09]#,##0"/>
    <numFmt numFmtId="167" formatCode="[$R$-416]\ #,##0"/>
    <numFmt numFmtId="168" formatCode="[$$-409]#,##0"/>
    <numFmt numFmtId="169" formatCode="_(&quot;$&quot;* #,##0_);_(&quot;$&quot;* \(#,##0\);_(&quot;$&quot;* &quot;-&quot;??_);_(@_)"/>
    <numFmt numFmtId="170" formatCode="[$£-809]#,##0"/>
  </numFmts>
  <fonts count="60" x14ac:knownFonts="1">
    <font>
      <sz val="11"/>
      <color theme="1"/>
      <name val="Calibri"/>
      <family val="2"/>
      <scheme val="minor"/>
    </font>
    <font>
      <sz val="10"/>
      <name val="Source Sans Pro"/>
      <family val="2"/>
    </font>
    <font>
      <b/>
      <sz val="24"/>
      <name val="Source Sans Pro"/>
      <family val="2"/>
    </font>
    <font>
      <b/>
      <sz val="28"/>
      <color rgb="FF92D050"/>
      <name val="Source Sans Pro"/>
      <family val="2"/>
    </font>
    <font>
      <sz val="14"/>
      <name val="Source Sans Pro"/>
      <family val="2"/>
    </font>
    <font>
      <sz val="11"/>
      <color theme="1"/>
      <name val="Source Sans Pro"/>
      <family val="2"/>
    </font>
    <font>
      <b/>
      <sz val="24"/>
      <color rgb="FF00B0F0"/>
      <name val="Source Sans Pro"/>
      <family val="2"/>
    </font>
    <font>
      <b/>
      <sz val="10"/>
      <name val="Source Sans Pro"/>
      <family val="2"/>
    </font>
    <font>
      <sz val="10"/>
      <color rgb="FF444444"/>
      <name val="Source Sans Pro"/>
      <family val="2"/>
    </font>
    <font>
      <b/>
      <sz val="11"/>
      <color theme="0"/>
      <name val="Source Sans Pro"/>
      <family val="2"/>
    </font>
    <font>
      <b/>
      <sz val="11"/>
      <color theme="1"/>
      <name val="Source Sans Pro"/>
      <family val="2"/>
    </font>
    <font>
      <sz val="11"/>
      <color theme="0"/>
      <name val="Source Sans Pro"/>
      <family val="2"/>
    </font>
    <font>
      <b/>
      <sz val="10"/>
      <color rgb="FF444444"/>
      <name val="Source Sans Pro"/>
      <family val="2"/>
    </font>
    <font>
      <b/>
      <sz val="20"/>
      <color rgb="FF00B0F0"/>
      <name val="Source Sans Pro"/>
      <family val="2"/>
    </font>
    <font>
      <b/>
      <sz val="20"/>
      <color theme="9" tint="0.39997558519241921"/>
      <name val="Source Sans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theme="1"/>
      <name val="Source Sans Pro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Source Sans Pro"/>
      <family val="2"/>
    </font>
    <font>
      <sz val="11"/>
      <name val="Source Sans Pro"/>
      <family val="2"/>
    </font>
    <font>
      <i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1"/>
      <name val="ArialNarrow"/>
    </font>
    <font>
      <b/>
      <sz val="10"/>
      <color indexed="81"/>
      <name val="ArialNarrow"/>
    </font>
    <font>
      <b/>
      <sz val="11"/>
      <color theme="1"/>
      <name val="Calibri"/>
      <family val="2"/>
      <scheme val="minor"/>
    </font>
    <font>
      <b/>
      <sz val="14"/>
      <color rgb="FF595959"/>
      <name val="Source Sans Pro"/>
      <family val="2"/>
    </font>
    <font>
      <sz val="14"/>
      <color rgb="FF595959"/>
      <name val="Calibri"/>
      <family val="2"/>
      <scheme val="minor"/>
    </font>
    <font>
      <b/>
      <sz val="14"/>
      <color rgb="FF595959"/>
      <name val="Calibri"/>
      <family val="2"/>
      <scheme val="minor"/>
    </font>
    <font>
      <sz val="12"/>
      <color theme="0"/>
      <name val="Arial Narrow"/>
      <family val="2"/>
    </font>
    <font>
      <b/>
      <u/>
      <sz val="10"/>
      <name val="Source Sans Pro"/>
      <family val="2"/>
    </font>
    <font>
      <b/>
      <sz val="24"/>
      <color rgb="FFFF0000"/>
      <name val="Source Sans Pro"/>
      <family val="2"/>
    </font>
    <font>
      <sz val="14"/>
      <color rgb="FFFF0000"/>
      <name val="Source Sans Pro"/>
      <family val="2"/>
    </font>
    <font>
      <sz val="11"/>
      <color rgb="FFFF0000"/>
      <name val="Source Sans Pro"/>
      <family val="2"/>
    </font>
    <font>
      <sz val="8"/>
      <name val="Calibri"/>
      <family val="2"/>
      <scheme val="minor"/>
    </font>
    <font>
      <sz val="11"/>
      <color rgb="FFEE2558"/>
      <name val="Source Sans Pro"/>
      <family val="2"/>
    </font>
    <font>
      <sz val="11"/>
      <name val="126"/>
    </font>
    <font>
      <b/>
      <sz val="14"/>
      <color theme="0"/>
      <name val="Source Sans Pro"/>
      <family val="2"/>
    </font>
    <font>
      <b/>
      <sz val="28"/>
      <color theme="0"/>
      <name val="Source Sans Pro"/>
      <family val="2"/>
    </font>
    <font>
      <sz val="10"/>
      <color theme="0"/>
      <name val="Source Sans Pro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A86ED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40B2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82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rgb="FF000000"/>
      </patternFill>
    </fill>
  </fills>
  <borders count="22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</borders>
  <cellStyleXfs count="65">
    <xf numFmtId="0" fontId="0" fillId="0" borderId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7" fillId="13" borderId="0" applyNumberFormat="0" applyBorder="0" applyAlignment="0" applyProtection="0"/>
    <xf numFmtId="0" fontId="18" fillId="30" borderId="7" applyNumberFormat="0" applyAlignment="0" applyProtection="0"/>
    <xf numFmtId="0" fontId="19" fillId="31" borderId="8" applyNumberFormat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17" borderId="7" applyNumberFormat="0" applyAlignment="0" applyProtection="0"/>
    <xf numFmtId="0" fontId="26" fillId="0" borderId="12" applyNumberFormat="0" applyFill="0" applyAlignment="0" applyProtection="0"/>
    <xf numFmtId="0" fontId="27" fillId="32" borderId="0" applyNumberFormat="0" applyBorder="0" applyAlignment="0" applyProtection="0"/>
    <xf numFmtId="0" fontId="15" fillId="33" borderId="13" applyNumberFormat="0" applyFont="0" applyAlignment="0" applyProtection="0"/>
    <xf numFmtId="0" fontId="28" fillId="30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03">
    <xf numFmtId="0" fontId="0" fillId="0" borderId="0" xfId="0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applyFont="1" applyFill="1"/>
    <xf numFmtId="0" fontId="5" fillId="3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/>
    <xf numFmtId="0" fontId="5" fillId="0" borderId="0" xfId="0" applyFont="1"/>
    <xf numFmtId="0" fontId="8" fillId="0" borderId="0" xfId="0" applyFont="1"/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 wrapText="1"/>
    </xf>
    <xf numFmtId="0" fontId="10" fillId="6" borderId="0" xfId="0" applyFont="1" applyFill="1" applyBorder="1" applyAlignment="1">
      <alignment horizontal="left"/>
    </xf>
    <xf numFmtId="0" fontId="5" fillId="6" borderId="0" xfId="0" applyFont="1" applyFill="1"/>
    <xf numFmtId="0" fontId="5" fillId="5" borderId="6" xfId="0" applyFont="1" applyFill="1" applyBorder="1" applyAlignment="1">
      <alignment horizontal="left" indent="1"/>
    </xf>
    <xf numFmtId="164" fontId="5" fillId="5" borderId="6" xfId="0" applyNumberFormat="1" applyFont="1" applyFill="1" applyBorder="1" applyAlignment="1">
      <alignment horizontal="center"/>
    </xf>
    <xf numFmtId="0" fontId="10" fillId="6" borderId="6" xfId="0" applyFont="1" applyFill="1" applyBorder="1" applyAlignment="1">
      <alignment horizontal="left"/>
    </xf>
    <xf numFmtId="164" fontId="5" fillId="6" borderId="6" xfId="0" applyNumberFormat="1" applyFont="1" applyFill="1" applyBorder="1" applyAlignment="1">
      <alignment horizontal="center"/>
    </xf>
    <xf numFmtId="0" fontId="10" fillId="0" borderId="0" xfId="0" applyFont="1"/>
    <xf numFmtId="0" fontId="7" fillId="0" borderId="0" xfId="0" applyFont="1"/>
    <xf numFmtId="164" fontId="11" fillId="9" borderId="0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164" fontId="5" fillId="7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/>
    <xf numFmtId="164" fontId="11" fillId="11" borderId="0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 indent="1"/>
    </xf>
    <xf numFmtId="164" fontId="11" fillId="9" borderId="2" xfId="0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164" fontId="5" fillId="6" borderId="2" xfId="0" applyNumberFormat="1" applyFont="1" applyFill="1" applyBorder="1" applyAlignment="1">
      <alignment horizontal="center"/>
    </xf>
    <xf numFmtId="164" fontId="5" fillId="6" borderId="4" xfId="0" applyNumberFormat="1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9" fillId="4" borderId="0" xfId="0" applyFont="1" applyFill="1" applyAlignment="1"/>
    <xf numFmtId="164" fontId="5" fillId="8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9" fontId="5" fillId="0" borderId="0" xfId="0" applyNumberFormat="1" applyFont="1" applyFill="1"/>
    <xf numFmtId="0" fontId="9" fillId="4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32" fillId="0" borderId="0" xfId="0" applyFont="1" applyAlignment="1">
      <alignment horizontal="right"/>
    </xf>
    <xf numFmtId="0" fontId="9" fillId="4" borderId="2" xfId="0" applyFont="1" applyFill="1" applyBorder="1" applyAlignment="1">
      <alignment horizontal="center" vertical="center"/>
    </xf>
    <xf numFmtId="164" fontId="11" fillId="9" borderId="0" xfId="0" applyNumberFormat="1" applyFont="1" applyFill="1" applyBorder="1" applyAlignment="1">
      <alignment horizontal="center" vertical="center"/>
    </xf>
    <xf numFmtId="164" fontId="5" fillId="7" borderId="0" xfId="0" applyNumberFormat="1" applyFont="1" applyFill="1" applyBorder="1" applyAlignment="1">
      <alignment horizontal="center" vertical="center"/>
    </xf>
    <xf numFmtId="164" fontId="11" fillId="9" borderId="6" xfId="0" applyNumberFormat="1" applyFont="1" applyFill="1" applyBorder="1" applyAlignment="1">
      <alignment horizontal="center"/>
    </xf>
    <xf numFmtId="0" fontId="34" fillId="0" borderId="0" xfId="0" applyFont="1"/>
    <xf numFmtId="9" fontId="34" fillId="0" borderId="0" xfId="0" applyNumberFormat="1" applyFont="1"/>
    <xf numFmtId="0" fontId="33" fillId="0" borderId="0" xfId="0" applyFont="1" applyAlignment="1">
      <alignment horizontal="right"/>
    </xf>
    <xf numFmtId="0" fontId="33" fillId="0" borderId="0" xfId="0" applyFont="1"/>
    <xf numFmtId="0" fontId="34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168" fontId="5" fillId="0" borderId="0" xfId="0" applyNumberFormat="1" applyFont="1" applyFill="1"/>
    <xf numFmtId="165" fontId="5" fillId="0" borderId="0" xfId="0" applyNumberFormat="1" applyFont="1"/>
    <xf numFmtId="166" fontId="5" fillId="0" borderId="0" xfId="0" applyNumberFormat="1" applyFont="1"/>
    <xf numFmtId="0" fontId="5" fillId="0" borderId="0" xfId="0" applyFont="1" applyFill="1" applyBorder="1" applyAlignment="1">
      <alignment horizontal="left" indent="1"/>
    </xf>
    <xf numFmtId="164" fontId="5" fillId="0" borderId="0" xfId="0" applyNumberFormat="1" applyFont="1" applyFill="1" applyBorder="1" applyAlignment="1">
      <alignment horizontal="center"/>
    </xf>
    <xf numFmtId="165" fontId="5" fillId="8" borderId="1" xfId="0" applyNumberFormat="1" applyFont="1" applyFill="1" applyBorder="1" applyAlignment="1">
      <alignment horizontal="center"/>
    </xf>
    <xf numFmtId="169" fontId="5" fillId="0" borderId="0" xfId="43" applyNumberFormat="1" applyFont="1"/>
    <xf numFmtId="0" fontId="5" fillId="0" borderId="0" xfId="0" applyFont="1" applyAlignment="1">
      <alignment horizontal="right"/>
    </xf>
    <xf numFmtId="167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0" xfId="43" applyNumberFormat="1" applyFont="1"/>
    <xf numFmtId="0" fontId="5" fillId="0" borderId="0" xfId="0" applyFont="1" applyAlignment="1">
      <alignment horizont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readingOrder="1"/>
    </xf>
    <xf numFmtId="0" fontId="0" fillId="4" borderId="0" xfId="0" applyFill="1"/>
    <xf numFmtId="0" fontId="5" fillId="4" borderId="0" xfId="0" applyFont="1" applyFill="1"/>
    <xf numFmtId="0" fontId="11" fillId="0" borderId="0" xfId="0" applyFont="1" applyFill="1"/>
    <xf numFmtId="0" fontId="49" fillId="0" borderId="0" xfId="0" applyFont="1" applyAlignment="1">
      <alignment horizontal="center"/>
    </xf>
    <xf numFmtId="168" fontId="49" fillId="0" borderId="0" xfId="43" applyNumberFormat="1" applyFont="1" applyAlignment="1">
      <alignment horizontal="right"/>
    </xf>
    <xf numFmtId="164" fontId="5" fillId="35" borderId="1" xfId="0" applyNumberFormat="1" applyFont="1" applyFill="1" applyBorder="1" applyAlignment="1">
      <alignment horizontal="center"/>
    </xf>
    <xf numFmtId="164" fontId="11" fillId="11" borderId="1" xfId="0" applyNumberFormat="1" applyFont="1" applyFill="1" applyBorder="1" applyAlignment="1">
      <alignment horizontal="center"/>
    </xf>
    <xf numFmtId="164" fontId="11" fillId="34" borderId="1" xfId="0" applyNumberFormat="1" applyFont="1" applyFill="1" applyBorder="1" applyAlignment="1">
      <alignment horizontal="center"/>
    </xf>
    <xf numFmtId="164" fontId="11" fillId="36" borderId="0" xfId="0" applyNumberFormat="1" applyFont="1" applyFill="1" applyBorder="1" applyAlignment="1">
      <alignment horizontal="center"/>
    </xf>
    <xf numFmtId="170" fontId="5" fillId="0" borderId="1" xfId="0" applyNumberFormat="1" applyFont="1" applyFill="1" applyBorder="1" applyAlignment="1">
      <alignment horizontal="center"/>
    </xf>
    <xf numFmtId="0" fontId="11" fillId="36" borderId="2" xfId="0" applyFont="1" applyFill="1" applyBorder="1" applyAlignment="1">
      <alignment horizontal="center"/>
    </xf>
    <xf numFmtId="0" fontId="1" fillId="4" borderId="0" xfId="0" applyFont="1" applyFill="1"/>
    <xf numFmtId="0" fontId="5" fillId="37" borderId="0" xfId="0" applyFont="1" applyFill="1"/>
    <xf numFmtId="0" fontId="0" fillId="3" borderId="0" xfId="0" applyFill="1"/>
    <xf numFmtId="0" fontId="9" fillId="6" borderId="17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164" fontId="5" fillId="35" borderId="19" xfId="0" applyNumberFormat="1" applyFont="1" applyFill="1" applyBorder="1" applyAlignment="1">
      <alignment horizontal="center"/>
    </xf>
    <xf numFmtId="164" fontId="11" fillId="11" borderId="19" xfId="0" applyNumberFormat="1" applyFont="1" applyFill="1" applyBorder="1" applyAlignment="1">
      <alignment horizontal="center"/>
    </xf>
    <xf numFmtId="164" fontId="11" fillId="34" borderId="19" xfId="0" applyNumberFormat="1" applyFont="1" applyFill="1" applyBorder="1" applyAlignment="1">
      <alignment horizontal="center"/>
    </xf>
    <xf numFmtId="164" fontId="5" fillId="6" borderId="19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left" indent="1"/>
    </xf>
    <xf numFmtId="0" fontId="5" fillId="5" borderId="17" xfId="0" applyFont="1" applyFill="1" applyBorder="1" applyAlignment="1">
      <alignment horizontal="left" indent="1"/>
    </xf>
    <xf numFmtId="0" fontId="35" fillId="2" borderId="0" xfId="0" applyFont="1" applyFill="1" applyAlignment="1">
      <alignment horizontal="left" vertical="center" wrapText="1"/>
    </xf>
    <xf numFmtId="0" fontId="36" fillId="0" borderId="0" xfId="0" applyFont="1" applyFill="1"/>
    <xf numFmtId="9" fontId="40" fillId="0" borderId="0" xfId="0" applyNumberFormat="1" applyFont="1"/>
    <xf numFmtId="9" fontId="40" fillId="0" borderId="0" xfId="44" applyFont="1"/>
    <xf numFmtId="0" fontId="51" fillId="2" borderId="0" xfId="0" applyFont="1" applyFill="1" applyBorder="1" applyAlignment="1">
      <alignment horizontal="left" vertical="center"/>
    </xf>
    <xf numFmtId="0" fontId="52" fillId="2" borderId="0" xfId="0" applyFont="1" applyFill="1" applyAlignment="1">
      <alignment horizontal="left" vertical="center" wrapText="1"/>
    </xf>
    <xf numFmtId="0" fontId="53" fillId="3" borderId="0" xfId="0" applyFont="1" applyFill="1"/>
    <xf numFmtId="0" fontId="51" fillId="4" borderId="0" xfId="0" applyFont="1" applyFill="1" applyAlignment="1">
      <alignment horizontal="center"/>
    </xf>
    <xf numFmtId="0" fontId="40" fillId="0" borderId="0" xfId="0" applyFont="1" applyAlignment="1"/>
    <xf numFmtId="164" fontId="53" fillId="5" borderId="6" xfId="0" applyNumberFormat="1" applyFont="1" applyFill="1" applyBorder="1" applyAlignment="1">
      <alignment horizontal="center"/>
    </xf>
    <xf numFmtId="164" fontId="53" fillId="9" borderId="6" xfId="0" applyNumberFormat="1" applyFont="1" applyFill="1" applyBorder="1" applyAlignment="1">
      <alignment horizontal="center"/>
    </xf>
    <xf numFmtId="164" fontId="53" fillId="7" borderId="6" xfId="0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4" fontId="55" fillId="9" borderId="6" xfId="0" applyNumberFormat="1" applyFont="1" applyFill="1" applyBorder="1" applyAlignment="1">
      <alignment horizontal="center"/>
    </xf>
    <xf numFmtId="164" fontId="55" fillId="5" borderId="6" xfId="0" applyNumberFormat="1" applyFont="1" applyFill="1" applyBorder="1" applyAlignment="1">
      <alignment horizontal="center"/>
    </xf>
    <xf numFmtId="164" fontId="55" fillId="7" borderId="6" xfId="0" applyNumberFormat="1" applyFont="1" applyFill="1" applyBorder="1" applyAlignment="1">
      <alignment horizontal="center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38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9" fontId="0" fillId="0" borderId="0" xfId="44" applyFont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35" fillId="2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center"/>
    </xf>
    <xf numFmtId="0" fontId="46" fillId="0" borderId="0" xfId="0" applyFont="1" applyAlignment="1">
      <alignment horizontal="center" vertical="center" wrapText="1" readingOrder="1"/>
    </xf>
    <xf numFmtId="0" fontId="45" fillId="0" borderId="0" xfId="0" applyFont="1" applyAlignment="1">
      <alignment readingOrder="1"/>
    </xf>
    <xf numFmtId="0" fontId="46" fillId="0" borderId="0" xfId="0" applyFont="1" applyAlignment="1">
      <alignment horizontal="center" vertical="center" readingOrder="1"/>
    </xf>
    <xf numFmtId="0" fontId="45" fillId="0" borderId="0" xfId="0" applyFont="1" applyAlignment="1"/>
    <xf numFmtId="0" fontId="48" fillId="0" borderId="0" xfId="0" applyFont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0" xfId="0" applyFont="1" applyAlignment="1">
      <alignment horizontal="left" wrapText="1"/>
    </xf>
    <xf numFmtId="0" fontId="4" fillId="2" borderId="0" xfId="0" applyFont="1" applyFill="1" applyAlignment="1">
      <alignment horizontal="left" vertical="center"/>
    </xf>
    <xf numFmtId="0" fontId="9" fillId="4" borderId="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/>
    </xf>
    <xf numFmtId="0" fontId="6" fillId="1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9" fillId="4" borderId="16" xfId="0" applyFont="1" applyFill="1" applyBorder="1" applyAlignment="1">
      <alignment horizontal="center" vertical="center"/>
    </xf>
    <xf numFmtId="0" fontId="0" fillId="0" borderId="16" xfId="0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164" fontId="36" fillId="5" borderId="6" xfId="0" applyNumberFormat="1" applyFont="1" applyFill="1" applyBorder="1" applyAlignment="1">
      <alignment horizontal="center"/>
    </xf>
    <xf numFmtId="164" fontId="36" fillId="7" borderId="6" xfId="0" applyNumberFormat="1" applyFont="1" applyFill="1" applyBorder="1" applyAlignment="1">
      <alignment horizontal="center"/>
    </xf>
    <xf numFmtId="164" fontId="56" fillId="5" borderId="6" xfId="0" applyNumberFormat="1" applyFont="1" applyFill="1" applyBorder="1" applyAlignment="1">
      <alignment horizontal="center"/>
    </xf>
    <xf numFmtId="164" fontId="36" fillId="6" borderId="6" xfId="0" applyNumberFormat="1" applyFont="1" applyFill="1" applyBorder="1" applyAlignment="1">
      <alignment horizontal="center"/>
    </xf>
    <xf numFmtId="164" fontId="36" fillId="39" borderId="21" xfId="0" applyNumberFormat="1" applyFont="1" applyFill="1" applyBorder="1" applyAlignment="1">
      <alignment horizontal="center"/>
    </xf>
    <xf numFmtId="0" fontId="36" fillId="6" borderId="0" xfId="0" applyFont="1" applyFill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9" fontId="5" fillId="8" borderId="1" xfId="44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5" fillId="5" borderId="6" xfId="0" applyFont="1" applyFill="1" applyBorder="1" applyAlignment="1">
      <alignment horizontal="left" wrapText="1"/>
    </xf>
    <xf numFmtId="9" fontId="5" fillId="8" borderId="0" xfId="44" applyFont="1" applyFill="1" applyBorder="1" applyAlignment="1">
      <alignment horizontal="center"/>
    </xf>
    <xf numFmtId="0" fontId="57" fillId="4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/>
    <xf numFmtId="0" fontId="5" fillId="3" borderId="0" xfId="0" applyFont="1" applyFill="1" applyAlignment="1"/>
    <xf numFmtId="0" fontId="13" fillId="4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3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/>
    </xf>
    <xf numFmtId="0" fontId="59" fillId="0" borderId="0" xfId="0" applyFont="1" applyFill="1"/>
    <xf numFmtId="9" fontId="59" fillId="0" borderId="0" xfId="0" applyNumberFormat="1" applyFont="1" applyFill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9" fontId="34" fillId="0" borderId="0" xfId="44" applyFont="1"/>
    <xf numFmtId="9" fontId="34" fillId="0" borderId="0" xfId="44" applyFont="1" applyAlignment="1">
      <alignment horizontal="center"/>
    </xf>
  </cellXfs>
  <cellStyles count="6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urrency" xfId="43" builtinId="4"/>
    <cellStyle name="Explanatory Text 2" xfId="29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Good 2" xfId="30"/>
    <cellStyle name="Heading 1 2" xfId="31"/>
    <cellStyle name="Heading 2 2" xfId="32"/>
    <cellStyle name="Heading 3 2" xfId="33"/>
    <cellStyle name="Heading 4 2" xfId="34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Percent" xfId="44" builtinId="5"/>
    <cellStyle name="Title 2" xfId="40"/>
    <cellStyle name="Total 2" xfId="41"/>
    <cellStyle name="Warning Text 2" xfId="42"/>
  </cellStyles>
  <dxfs count="0"/>
  <tableStyles count="0" defaultTableStyle="TableStyleMedium2" defaultPivotStyle="PivotStyleLight16"/>
  <colors>
    <mruColors>
      <color rgb="FFEB5D45"/>
      <color rgb="FF6E00FF"/>
      <color rgb="FFEE2558"/>
      <color rgb="FFFF8200"/>
      <color rgb="FF40B2E6"/>
      <color rgb="FFA86ED4"/>
      <color rgb="FFE915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Relationship Id="rId3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Relationship Id="rId3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Relationship Id="rId3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Relationship Id="rId3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Relationship Id="rId3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Relationship Id="rId3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Relationship Id="rId3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Relationship Id="rId3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7455677348107"/>
          <c:y val="0.0965520239834583"/>
          <c:w val="0.934414000048394"/>
          <c:h val="0.783798830149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'Respondent Demographics'!$G$8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'Respondent Demographics'!$H$7:$M$7</c:f>
              <c:strCache>
                <c:ptCount val="6"/>
                <c:pt idx="0">
                  <c:v>US/Canada</c:v>
                </c:pt>
                <c:pt idx="1">
                  <c:v>Europe</c:v>
                </c:pt>
                <c:pt idx="2">
                  <c:v>Latin America</c:v>
                </c:pt>
                <c:pt idx="3">
                  <c:v>Asia</c:v>
                </c:pt>
                <c:pt idx="4">
                  <c:v>Africa</c:v>
                </c:pt>
                <c:pt idx="5">
                  <c:v>Australia / New Zealand</c:v>
                </c:pt>
              </c:strCache>
            </c:strRef>
          </c:cat>
          <c:val>
            <c:numRef>
              <c:f>'Respondent Demographics'!$H$8:$M$8</c:f>
              <c:numCache>
                <c:formatCode>0%</c:formatCode>
                <c:ptCount val="6"/>
                <c:pt idx="0">
                  <c:v>0.67</c:v>
                </c:pt>
                <c:pt idx="1">
                  <c:v>0.14</c:v>
                </c:pt>
                <c:pt idx="2">
                  <c:v>0.09</c:v>
                </c:pt>
                <c:pt idx="3">
                  <c:v>0.02</c:v>
                </c:pt>
                <c:pt idx="4">
                  <c:v>0.01</c:v>
                </c:pt>
                <c:pt idx="5">
                  <c:v>0.07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B5-4EDF-A403-1D0CBD7DBEA3}"/>
            </c:ext>
          </c:extLst>
        </c:ser>
        <c:ser>
          <c:idx val="1"/>
          <c:order val="1"/>
          <c:tx>
            <c:strRef>
              <c:f>'Respondent Demographics'!$G$9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ource Sans Pro" panose="020B0503030403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'Respondent Demographics'!$H$7:$M$7</c:f>
              <c:strCache>
                <c:ptCount val="6"/>
                <c:pt idx="0">
                  <c:v>US/Canada</c:v>
                </c:pt>
                <c:pt idx="1">
                  <c:v>Europe</c:v>
                </c:pt>
                <c:pt idx="2">
                  <c:v>Latin America</c:v>
                </c:pt>
                <c:pt idx="3">
                  <c:v>Asia</c:v>
                </c:pt>
                <c:pt idx="4">
                  <c:v>Africa</c:v>
                </c:pt>
                <c:pt idx="5">
                  <c:v>Australia / New Zealand</c:v>
                </c:pt>
              </c:strCache>
            </c:strRef>
          </c:cat>
          <c:val>
            <c:numRef>
              <c:f>'Respondent Demographics'!$H$9:$M$9</c:f>
              <c:numCache>
                <c:formatCode>0%</c:formatCode>
                <c:ptCount val="6"/>
                <c:pt idx="0">
                  <c:v>0.675324675324675</c:v>
                </c:pt>
                <c:pt idx="1">
                  <c:v>0.155844155844156</c:v>
                </c:pt>
                <c:pt idx="2">
                  <c:v>0.0779220779220779</c:v>
                </c:pt>
                <c:pt idx="3">
                  <c:v>0.012987012987013</c:v>
                </c:pt>
                <c:pt idx="4">
                  <c:v>0.012987012987013</c:v>
                </c:pt>
                <c:pt idx="5">
                  <c:v>0.0649350649350649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B5-4EDF-A403-1D0CBD7DBE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9374592"/>
        <c:axId val="345018784"/>
      </c:barChart>
      <c:catAx>
        <c:axId val="38937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345018784"/>
        <c:crosses val="autoZero"/>
        <c:auto val="1"/>
        <c:lblAlgn val="ctr"/>
        <c:lblOffset val="100"/>
        <c:noMultiLvlLbl val="0"/>
      </c:catAx>
      <c:valAx>
        <c:axId val="34501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37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Exchange Rate to 1 USD by Year </a:t>
            </a:r>
          </a:p>
          <a:p>
            <a:pPr>
              <a:defRPr/>
            </a:pPr>
            <a:r>
              <a:rPr lang="en-US"/>
              <a:t>(USD vs</a:t>
            </a:r>
            <a:r>
              <a:rPr lang="en-US" baseline="0"/>
              <a:t> Select Currencies)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'[1]Currency Comparison'!$A$2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0B2E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A9-4695-AFBE-648C81A7E24F}"/>
              </c:ext>
            </c:extLst>
          </c:dPt>
          <c:dPt>
            <c:idx val="1"/>
            <c:invertIfNegative val="0"/>
            <c:bubble3D val="0"/>
            <c:spPr>
              <a:solidFill>
                <a:srgbClr val="40B2E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A9-4695-AFBE-648C81A7E24F}"/>
              </c:ext>
            </c:extLst>
          </c:dPt>
          <c:dPt>
            <c:idx val="2"/>
            <c:invertIfNegative val="0"/>
            <c:bubble3D val="0"/>
            <c:spPr>
              <a:solidFill>
                <a:srgbClr val="40B2E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A9-4695-AFBE-648C81A7E24F}"/>
              </c:ext>
            </c:extLst>
          </c:dPt>
          <c:dPt>
            <c:idx val="3"/>
            <c:invertIfNegative val="0"/>
            <c:bubble3D val="0"/>
            <c:spPr>
              <a:solidFill>
                <a:srgbClr val="40B2E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A9-4695-AFBE-648C81A7E24F}"/>
              </c:ext>
            </c:extLst>
          </c:dPt>
          <c:dLbls>
            <c:dLbl>
              <c:idx val="0"/>
              <c:layout>
                <c:manualLayout>
                  <c:x val="-0.00348027842227378"/>
                  <c:y val="0.00495867768595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BA9-4695-AFBE-648C81A7E24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'[1]Currency Comparison'!$B$1:$E$1</c:f>
              <c:strCache>
                <c:ptCount val="4"/>
                <c:pt idx="0">
                  <c:v>USD/EUR</c:v>
                </c:pt>
                <c:pt idx="1">
                  <c:v>USD/AUD</c:v>
                </c:pt>
                <c:pt idx="2">
                  <c:v>USD/CAD</c:v>
                </c:pt>
                <c:pt idx="3">
                  <c:v>USD/BRL</c:v>
                </c:pt>
              </c:strCache>
            </c:strRef>
          </c:cat>
          <c:val>
            <c:numRef>
              <c:f>'[1]Currency Comparison'!$B$2:$E$2</c:f>
              <c:numCache>
                <c:formatCode>General</c:formatCode>
                <c:ptCount val="4"/>
                <c:pt idx="0">
                  <c:v>0.753153</c:v>
                </c:pt>
                <c:pt idx="1">
                  <c:v>1.03689</c:v>
                </c:pt>
                <c:pt idx="2">
                  <c:v>1.03019</c:v>
                </c:pt>
                <c:pt idx="3">
                  <c:v>2.15933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BA9-4695-AFBE-648C81A7E24F}"/>
            </c:ext>
          </c:extLst>
        </c:ser>
        <c:ser>
          <c:idx val="1"/>
          <c:order val="1"/>
          <c:tx>
            <c:strRef>
              <c:f>'[1]Currency Comparison'!$A$3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E2558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00116009280742459"/>
                  <c:y val="-0.003305785123966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BA9-4695-AFBE-648C81A7E24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'[1]Currency Comparison'!$B$1:$E$1</c:f>
              <c:strCache>
                <c:ptCount val="4"/>
                <c:pt idx="0">
                  <c:v>USD/EUR</c:v>
                </c:pt>
                <c:pt idx="1">
                  <c:v>USD/AUD</c:v>
                </c:pt>
                <c:pt idx="2">
                  <c:v>USD/CAD</c:v>
                </c:pt>
                <c:pt idx="3">
                  <c:v>USD/BRL</c:v>
                </c:pt>
              </c:strCache>
            </c:strRef>
          </c:cat>
          <c:val>
            <c:numRef>
              <c:f>'[1]Currency Comparison'!$B$3:$E$3</c:f>
              <c:numCache>
                <c:formatCode>General</c:formatCode>
                <c:ptCount val="4"/>
                <c:pt idx="0">
                  <c:v>0.75389</c:v>
                </c:pt>
                <c:pt idx="1">
                  <c:v>1.10994</c:v>
                </c:pt>
                <c:pt idx="2">
                  <c:v>1.10453</c:v>
                </c:pt>
                <c:pt idx="3">
                  <c:v>2.35286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BA9-4695-AFBE-648C81A7E24F}"/>
            </c:ext>
          </c:extLst>
        </c:ser>
        <c:ser>
          <c:idx val="2"/>
          <c:order val="2"/>
          <c:tx>
            <c:strRef>
              <c:f>'[1]Currency Comparison'!$A$4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'[1]Currency Comparison'!$B$1:$E$1</c:f>
              <c:strCache>
                <c:ptCount val="4"/>
                <c:pt idx="0">
                  <c:v>USD/EUR</c:v>
                </c:pt>
                <c:pt idx="1">
                  <c:v>USD/AUD</c:v>
                </c:pt>
                <c:pt idx="2">
                  <c:v>USD/CAD</c:v>
                </c:pt>
                <c:pt idx="3">
                  <c:v>USD/BRL</c:v>
                </c:pt>
              </c:strCache>
            </c:strRef>
          </c:cat>
          <c:val>
            <c:numRef>
              <c:f>'[1]Currency Comparison'!$B$4:$E$4</c:f>
              <c:numCache>
                <c:formatCode>General</c:formatCode>
                <c:ptCount val="4"/>
                <c:pt idx="0">
                  <c:v>0.901311</c:v>
                </c:pt>
                <c:pt idx="1">
                  <c:v>1.33164</c:v>
                </c:pt>
                <c:pt idx="2">
                  <c:v>1.27849</c:v>
                </c:pt>
                <c:pt idx="3">
                  <c:v>3.3348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BA9-4695-AFBE-648C81A7E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418016"/>
        <c:axId val="422373520"/>
      </c:barChart>
      <c:catAx>
        <c:axId val="422418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373520"/>
        <c:crosses val="autoZero"/>
        <c:auto val="1"/>
        <c:lblAlgn val="ctr"/>
        <c:lblOffset val="100"/>
        <c:noMultiLvlLbl val="0"/>
      </c:catAx>
      <c:valAx>
        <c:axId val="42237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41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Average Exchange Rate to 1 USD by Year 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400" b="0" i="0" baseline="0">
                <a:effectLst/>
              </a:rPr>
              <a:t>(Select Currencies vs USD)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86754900253886"/>
          <c:y val="0.158889372784082"/>
          <c:w val="0.899581308379706"/>
          <c:h val="0.705994876458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'[1]Currency Comparison'!$I$2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0B2E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ource Sans Pro" panose="020B0503030403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'[1]Currency Comparison'!$J$1:$M$1</c:f>
              <c:strCache>
                <c:ptCount val="4"/>
                <c:pt idx="0">
                  <c:v>EUR/USD</c:v>
                </c:pt>
                <c:pt idx="1">
                  <c:v>AUD/USD</c:v>
                </c:pt>
                <c:pt idx="2">
                  <c:v>CAD/USD</c:v>
                </c:pt>
                <c:pt idx="3">
                  <c:v>BRL/USD</c:v>
                </c:pt>
              </c:strCache>
            </c:strRef>
          </c:cat>
          <c:val>
            <c:numRef>
              <c:f>'[1]Currency Comparison'!$J$2:$M$2</c:f>
              <c:numCache>
                <c:formatCode>General</c:formatCode>
                <c:ptCount val="4"/>
                <c:pt idx="0">
                  <c:v>1.32827</c:v>
                </c:pt>
                <c:pt idx="1">
                  <c:v>0.967645</c:v>
                </c:pt>
                <c:pt idx="2">
                  <c:v>0.971066</c:v>
                </c:pt>
                <c:pt idx="3">
                  <c:v>0.465125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F2-4F22-B7D4-39C223DADB15}"/>
            </c:ext>
          </c:extLst>
        </c:ser>
        <c:ser>
          <c:idx val="1"/>
          <c:order val="1"/>
          <c:tx>
            <c:strRef>
              <c:f>'[1]Currency Comparison'!$I$3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E2558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00334510793767774"/>
                  <c:y val="0.01466310195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5F2-4F22-B7D4-39C223DADB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ource Sans Pro" panose="020B0503030403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'[1]Currency Comparison'!$J$1:$M$1</c:f>
              <c:strCache>
                <c:ptCount val="4"/>
                <c:pt idx="0">
                  <c:v>EUR/USD</c:v>
                </c:pt>
                <c:pt idx="1">
                  <c:v>AUD/USD</c:v>
                </c:pt>
                <c:pt idx="2">
                  <c:v>CAD/USD</c:v>
                </c:pt>
                <c:pt idx="3">
                  <c:v>BRL/USD</c:v>
                </c:pt>
              </c:strCache>
            </c:strRef>
          </c:cat>
          <c:val>
            <c:numRef>
              <c:f>'[1]Currency Comparison'!$J$3:$M$3</c:f>
              <c:numCache>
                <c:formatCode>General</c:formatCode>
                <c:ptCount val="4"/>
                <c:pt idx="0">
                  <c:v>1.32866</c:v>
                </c:pt>
                <c:pt idx="1">
                  <c:v>0.902365</c:v>
                </c:pt>
                <c:pt idx="2">
                  <c:v>0.90576</c:v>
                </c:pt>
                <c:pt idx="3">
                  <c:v>0.42636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5F2-4F22-B7D4-39C223DADB15}"/>
            </c:ext>
          </c:extLst>
        </c:ser>
        <c:ser>
          <c:idx val="2"/>
          <c:order val="2"/>
          <c:tx>
            <c:strRef>
              <c:f>'[1]Currency Comparison'!$I$4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00334510793767774"/>
                  <c:y val="0.00293262039099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5F2-4F22-B7D4-39C223DADB1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669021587535542"/>
                  <c:y val="0.00293262039099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5F2-4F22-B7D4-39C223DADB1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"/>
                  <c:y val="0.008797861172983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5F2-4F22-B7D4-39C223DADB1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"/>
                  <c:y val="0.00879786117298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5F2-4F22-B7D4-39C223DADB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ource Sans Pro" panose="020B0503030403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'[1]Currency Comparison'!$J$1:$M$1</c:f>
              <c:strCache>
                <c:ptCount val="4"/>
                <c:pt idx="0">
                  <c:v>EUR/USD</c:v>
                </c:pt>
                <c:pt idx="1">
                  <c:v>AUD/USD</c:v>
                </c:pt>
                <c:pt idx="2">
                  <c:v>CAD/USD</c:v>
                </c:pt>
                <c:pt idx="3">
                  <c:v>BRL/USD</c:v>
                </c:pt>
              </c:strCache>
            </c:strRef>
          </c:cat>
          <c:val>
            <c:numRef>
              <c:f>'[1]Currency Comparison'!$J$4:$M$4</c:f>
              <c:numCache>
                <c:formatCode>General</c:formatCode>
                <c:ptCount val="4"/>
                <c:pt idx="0">
                  <c:v>1.11025</c:v>
                </c:pt>
                <c:pt idx="1">
                  <c:v>0.752409</c:v>
                </c:pt>
                <c:pt idx="2">
                  <c:v>0.78344</c:v>
                </c:pt>
                <c:pt idx="3">
                  <c:v>0.304954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5F2-4F22-B7D4-39C223DAD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8086560"/>
        <c:axId val="418123552"/>
      </c:barChart>
      <c:catAx>
        <c:axId val="41808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123552"/>
        <c:crosses val="autoZero"/>
        <c:auto val="1"/>
        <c:lblAlgn val="ctr"/>
        <c:lblOffset val="100"/>
        <c:noMultiLvlLbl val="0"/>
      </c:catAx>
      <c:valAx>
        <c:axId val="41812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08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'Respondent Demographics'!$G$12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'Respondent Demographics'!$H$11:$J$11</c:f>
              <c:strCache>
                <c:ptCount val="3"/>
                <c:pt idx="0">
                  <c:v>0-50</c:v>
                </c:pt>
                <c:pt idx="1">
                  <c:v>51-100</c:v>
                </c:pt>
                <c:pt idx="2">
                  <c:v>100+</c:v>
                </c:pt>
              </c:strCache>
            </c:strRef>
          </c:cat>
          <c:val>
            <c:numRef>
              <c:f>'Respondent Demographics'!$H$12:$J$12</c:f>
              <c:numCache>
                <c:formatCode>General</c:formatCode>
                <c:ptCount val="3"/>
                <c:pt idx="0">
                  <c:v>45.0</c:v>
                </c:pt>
                <c:pt idx="1">
                  <c:v>30.0</c:v>
                </c:pt>
                <c:pt idx="2">
                  <c:v>13.0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6E-4D98-B0FA-7017CA4E01D9}"/>
            </c:ext>
          </c:extLst>
        </c:ser>
        <c:ser>
          <c:idx val="1"/>
          <c:order val="1"/>
          <c:tx>
            <c:strRef>
              <c:f>'Respondent Demographics'!$G$13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'Respondent Demographics'!$H$11:$J$11</c:f>
              <c:strCache>
                <c:ptCount val="3"/>
                <c:pt idx="0">
                  <c:v>0-50</c:v>
                </c:pt>
                <c:pt idx="1">
                  <c:v>51-100</c:v>
                </c:pt>
                <c:pt idx="2">
                  <c:v>100+</c:v>
                </c:pt>
              </c:strCache>
            </c:strRef>
          </c:cat>
          <c:val>
            <c:numRef>
              <c:f>'Respondent Demographics'!$H$13:$J$13</c:f>
              <c:numCache>
                <c:formatCode>General</c:formatCode>
                <c:ptCount val="3"/>
                <c:pt idx="0">
                  <c:v>50.0</c:v>
                </c:pt>
                <c:pt idx="1">
                  <c:v>16.0</c:v>
                </c:pt>
                <c:pt idx="2">
                  <c:v>11.0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6E-4D98-B0FA-7017CA4E0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322704"/>
        <c:axId val="418327312"/>
      </c:barChart>
      <c:catAx>
        <c:axId val="41832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327312"/>
        <c:crosses val="autoZero"/>
        <c:auto val="1"/>
        <c:lblAlgn val="ctr"/>
        <c:lblOffset val="100"/>
        <c:noMultiLvlLbl val="0"/>
      </c:catAx>
      <c:valAx>
        <c:axId val="4183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32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Salary Survey Respondents by FTEs</a:t>
            </a:r>
          </a:p>
          <a:p>
            <a:pPr>
              <a:defRPr/>
            </a:pPr>
            <a:r>
              <a:rPr lang="en-US" sz="1400" b="0" i="0" baseline="0">
                <a:effectLst/>
              </a:rPr>
              <a:t>(% of Respondents)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'Respondent Demographics'!$M$12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'Respondent Demographics'!$N$11:$P$11</c:f>
              <c:strCache>
                <c:ptCount val="3"/>
                <c:pt idx="0">
                  <c:v>0-50</c:v>
                </c:pt>
                <c:pt idx="1">
                  <c:v>51-100</c:v>
                </c:pt>
                <c:pt idx="2">
                  <c:v>100+</c:v>
                </c:pt>
              </c:strCache>
            </c:strRef>
          </c:cat>
          <c:val>
            <c:numRef>
              <c:f>'Respondent Demographics'!$N$12:$P$12</c:f>
              <c:numCache>
                <c:formatCode>0%</c:formatCode>
                <c:ptCount val="3"/>
                <c:pt idx="0">
                  <c:v>0.511363636363636</c:v>
                </c:pt>
                <c:pt idx="1">
                  <c:v>0.340909090909091</c:v>
                </c:pt>
                <c:pt idx="2">
                  <c:v>0.147727272727273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DA-4AC3-B03B-4E825DA5B688}"/>
            </c:ext>
          </c:extLst>
        </c:ser>
        <c:ser>
          <c:idx val="1"/>
          <c:order val="1"/>
          <c:tx>
            <c:strRef>
              <c:f>'Respondent Demographics'!$M$13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'Respondent Demographics'!$N$11:$P$11</c:f>
              <c:strCache>
                <c:ptCount val="3"/>
                <c:pt idx="0">
                  <c:v>0-50</c:v>
                </c:pt>
                <c:pt idx="1">
                  <c:v>51-100</c:v>
                </c:pt>
                <c:pt idx="2">
                  <c:v>100+</c:v>
                </c:pt>
              </c:strCache>
            </c:strRef>
          </c:cat>
          <c:val>
            <c:numRef>
              <c:f>'Respondent Demographics'!$N$13:$P$13</c:f>
              <c:numCache>
                <c:formatCode>0%</c:formatCode>
                <c:ptCount val="3"/>
                <c:pt idx="0">
                  <c:v>0.649350649350649</c:v>
                </c:pt>
                <c:pt idx="1">
                  <c:v>0.207792207792208</c:v>
                </c:pt>
                <c:pt idx="2">
                  <c:v>0.142857142857143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DA-4AC3-B03B-4E825DA5B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220784"/>
        <c:axId val="329727024"/>
      </c:barChart>
      <c:catAx>
        <c:axId val="32722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727024"/>
        <c:crosses val="autoZero"/>
        <c:auto val="1"/>
        <c:lblAlgn val="ctr"/>
        <c:lblOffset val="100"/>
        <c:noMultiLvlLbl val="0"/>
      </c:catAx>
      <c:valAx>
        <c:axId val="32972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22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0-50</a:t>
            </a:r>
            <a:endParaRPr lang="en-US"/>
          </a:p>
          <a:p>
            <a:pPr>
              <a:defRPr/>
            </a:pPr>
            <a:r>
              <a:rPr lang="en-US" b="1"/>
              <a:t>2015</a:t>
            </a:r>
            <a:endParaRPr lang="uk-UA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3169284993343"/>
          <c:y val="0.336678690099955"/>
          <c:w val="0.292506253391891"/>
          <c:h val="0.418004019842049"/>
        </c:manualLayout>
      </c:layout>
      <c:pieChart>
        <c:varyColors val="1"/>
        <c:ser>
          <c:idx val="0"/>
          <c:order val="0"/>
          <c:tx>
            <c:strRef>
              <c:f>'Respondent Demographics'!$H$15</c:f>
              <c:strCache>
                <c:ptCount val="1"/>
                <c:pt idx="0">
                  <c:v>0-50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CDC-49F6-8CFF-10365C7350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CDC-49F6-8CFF-10365C7350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'Respondent Demographics'!$H$16:$H$17</c:f>
              <c:numCache>
                <c:formatCode>0%</c:formatCode>
                <c:ptCount val="2"/>
                <c:pt idx="0">
                  <c:v>0.688888888888889</c:v>
                </c:pt>
                <c:pt idx="1">
                  <c:v>0.311111111111111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CDC-49F6-8CFF-10365C73507E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'Respondent Demographics'!$G$16:$G$17</c15:sqref>
                        </c15:formulaRef>
                      </c:ext>
                    </c:extLst>
                    <c:strCache>
                      <c:ptCount val="2"/>
                      <c:pt idx="0">
                        <c:v>US/Canada</c:v>
                      </c:pt>
                      <c:pt idx="1">
                        <c:v>Other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anchor="b" anchorCtr="0"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0-50</a:t>
            </a:r>
            <a:endParaRPr lang="en-US"/>
          </a:p>
          <a:p>
            <a:pPr>
              <a:defRPr/>
            </a:pPr>
            <a:r>
              <a:rPr lang="en-US" b="1"/>
              <a:t>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'Respondent Demographics'!$H$19</c:f>
              <c:strCache>
                <c:ptCount val="1"/>
                <c:pt idx="0">
                  <c:v>0-50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D62-469C-9D6D-AC205CB135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D62-469C-9D6D-AC205CB135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'Respondent Demographics'!$H$20:$H$21</c:f>
              <c:numCache>
                <c:formatCode>0%</c:formatCode>
                <c:ptCount val="2"/>
                <c:pt idx="0">
                  <c:v>0.68</c:v>
                </c:pt>
                <c:pt idx="1">
                  <c:v>0.32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D62-469C-9D6D-AC205CB13587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'Respondent Demographics'!$G$20:$G$21</c15:sqref>
                        </c15:formulaRef>
                      </c:ext>
                    </c:extLst>
                    <c:strCache>
                      <c:ptCount val="2"/>
                      <c:pt idx="0">
                        <c:v>US/Canada</c:v>
                      </c:pt>
                      <c:pt idx="1">
                        <c:v>Other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51-100</a:t>
            </a:r>
          </a:p>
          <a:p>
            <a:pPr>
              <a:defRPr/>
            </a:pPr>
            <a:r>
              <a:rPr lang="is-IS" b="1"/>
              <a:t>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'Respondent Demographics'!$I$15</c:f>
              <c:strCache>
                <c:ptCount val="1"/>
                <c:pt idx="0">
                  <c:v>51-100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F4-44DC-98C9-15E2A95973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F4-44DC-98C9-15E2A95973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'Respondent Demographics'!$I$16:$I$17</c:f>
              <c:numCache>
                <c:formatCode>0%</c:formatCode>
                <c:ptCount val="2"/>
                <c:pt idx="0">
                  <c:v>0.633333333333333</c:v>
                </c:pt>
                <c:pt idx="1">
                  <c:v>0.366666666666667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F4-44DC-98C9-15E2A959736B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'Respondent Demographics'!$G$16:$G$17</c15:sqref>
                        </c15:formulaRef>
                      </c:ext>
                    </c:extLst>
                    <c:strCache>
                      <c:ptCount val="2"/>
                      <c:pt idx="0">
                        <c:v>US/Canada</c:v>
                      </c:pt>
                      <c:pt idx="1">
                        <c:v>Other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100+</a:t>
            </a:r>
          </a:p>
          <a:p>
            <a:pPr>
              <a:defRPr/>
            </a:pPr>
            <a:r>
              <a:rPr lang="en-US" b="1"/>
              <a:t>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'Respondent Demographics'!$P$15</c:f>
              <c:strCache>
                <c:ptCount val="1"/>
                <c:pt idx="0">
                  <c:v>100+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F5-4ACD-B8C2-F734AEB07E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DF5-4ACD-B8C2-F734AEB07E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'Respondent Demographics'!$P$16:$P$17</c:f>
              <c:numCache>
                <c:formatCode>0%</c:formatCode>
                <c:ptCount val="2"/>
                <c:pt idx="0">
                  <c:v>0.692307692307692</c:v>
                </c:pt>
                <c:pt idx="1">
                  <c:v>0.307692307692308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DF5-4ACD-B8C2-F734AEB07E49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'Respondent Demographics'!$O$16:$O$17</c15:sqref>
                        </c15:formulaRef>
                      </c:ext>
                    </c:extLst>
                    <c:strCache>
                      <c:ptCount val="2"/>
                      <c:pt idx="0">
                        <c:v>US/Canada</c:v>
                      </c:pt>
                      <c:pt idx="1">
                        <c:v>Other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51-100</a:t>
            </a:r>
          </a:p>
          <a:p>
            <a:pPr>
              <a:defRPr/>
            </a:pPr>
            <a:r>
              <a:rPr lang="is-IS" b="1"/>
              <a:t>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'Respondent Demographics'!$N$19</c:f>
              <c:strCache>
                <c:ptCount val="1"/>
                <c:pt idx="0">
                  <c:v>51-100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42-4CC4-8FEE-70F7C487D3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42-4CC4-8FEE-70F7C487D3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'Respondent Demographics'!$N$20:$N$21</c:f>
              <c:numCache>
                <c:formatCode>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442-4CC4-8FEE-70F7C487D339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'Respondent Demographics'!$M$20:$M$21</c15:sqref>
                        </c15:formulaRef>
                      </c:ext>
                    </c:extLst>
                    <c:strCache>
                      <c:ptCount val="2"/>
                      <c:pt idx="0">
                        <c:v>US/Canada</c:v>
                      </c:pt>
                      <c:pt idx="1">
                        <c:v>Other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100+</a:t>
            </a:r>
          </a:p>
          <a:p>
            <a:pPr>
              <a:defRPr/>
            </a:pPr>
            <a:r>
              <a:rPr lang="en-US" b="1"/>
              <a:t>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'Respondent Demographics'!$P$19</c:f>
              <c:strCache>
                <c:ptCount val="1"/>
                <c:pt idx="0">
                  <c:v>100+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48-4687-A62C-E8AC2A4EC1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48-4687-A62C-E8AC2A4EC1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'Respondent Demographics'!$P$20:$P$21</c:f>
              <c:numCache>
                <c:formatCode>0%</c:formatCode>
                <c:ptCount val="2"/>
                <c:pt idx="0">
                  <c:v>0.545454545454545</c:v>
                </c:pt>
                <c:pt idx="1">
                  <c:v>0.454545454545454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A48-4687-A62C-E8AC2A4EC11E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'Respondent Demographics'!$O$20:$O$21</c15:sqref>
                        </c15:formulaRef>
                      </c:ext>
                    </c:extLst>
                    <c:strCache>
                      <c:ptCount val="2"/>
                      <c:pt idx="0">
                        <c:v>US/Canada</c:v>
                      </c:pt>
                      <c:pt idx="1">
                        <c:v>Other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4" Type="http://schemas.openxmlformats.org/officeDocument/2006/relationships/chart" Target="../charts/chart3.xml"/><Relationship Id="rId5" Type="http://schemas.openxmlformats.org/officeDocument/2006/relationships/chart" Target="../charts/chart4.xml"/><Relationship Id="rId6" Type="http://schemas.openxmlformats.org/officeDocument/2006/relationships/chart" Target="../charts/chart5.xml"/><Relationship Id="rId7" Type="http://schemas.openxmlformats.org/officeDocument/2006/relationships/chart" Target="../charts/chart6.xml"/><Relationship Id="rId8" Type="http://schemas.openxmlformats.org/officeDocument/2006/relationships/chart" Target="../charts/chart7.xml"/><Relationship Id="rId9" Type="http://schemas.openxmlformats.org/officeDocument/2006/relationships/chart" Target="../charts/chart8.xml"/><Relationship Id="rId10" Type="http://schemas.openxmlformats.org/officeDocument/2006/relationships/chart" Target="../charts/chart9.xml"/><Relationship Id="rId1" Type="http://schemas.openxmlformats.org/officeDocument/2006/relationships/image" Target="../media/image1.png"/><Relationship Id="rId2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0.xml"/><Relationship Id="rId3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598883</xdr:colOff>
      <xdr:row>0</xdr:row>
      <xdr:rowOff>95249</xdr:rowOff>
    </xdr:from>
    <xdr:to>
      <xdr:col>0</xdr:col>
      <xdr:colOff>2216505</xdr:colOff>
      <xdr:row>2</xdr:row>
      <xdr:rowOff>710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4105" y="95249"/>
          <a:ext cx="1617622" cy="892302"/>
        </a:xfrm>
        <a:prstGeom prst="rect">
          <a:avLst/>
        </a:prstGeom>
      </xdr:spPr>
    </xdr:pic>
    <xdr:clientData/>
  </xdr:twoCellAnchor>
  <xdr:twoCellAnchor>
    <xdr:from>
      <xdr:col>0</xdr:col>
      <xdr:colOff>876300</xdr:colOff>
      <xdr:row>7</xdr:row>
      <xdr:rowOff>20014</xdr:rowOff>
    </xdr:from>
    <xdr:to>
      <xdr:col>4</xdr:col>
      <xdr:colOff>283666</xdr:colOff>
      <xdr:row>34</xdr:row>
      <xdr:rowOff>27329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870510</xdr:colOff>
      <xdr:row>38</xdr:row>
      <xdr:rowOff>58522</xdr:rowOff>
    </xdr:from>
    <xdr:to>
      <xdr:col>4</xdr:col>
      <xdr:colOff>317501</xdr:colOff>
      <xdr:row>64</xdr:row>
      <xdr:rowOff>50800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877824</xdr:colOff>
      <xdr:row>66</xdr:row>
      <xdr:rowOff>58522</xdr:rowOff>
    </xdr:from>
    <xdr:to>
      <xdr:col>4</xdr:col>
      <xdr:colOff>336499</xdr:colOff>
      <xdr:row>93</xdr:row>
      <xdr:rowOff>168250</xdr:rowOff>
    </xdr:to>
    <xdr:graphicFrame macro="">
      <xdr:nvGraphicFramePr>
        <xdr:cNvPr id="15" name="Chart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2370125</xdr:colOff>
      <xdr:row>98</xdr:row>
      <xdr:rowOff>21946</xdr:rowOff>
    </xdr:from>
    <xdr:to>
      <xdr:col>0</xdr:col>
      <xdr:colOff>5471769</xdr:colOff>
      <xdr:row>109</xdr:row>
      <xdr:rowOff>175565</xdr:rowOff>
    </xdr:to>
    <xdr:graphicFrame macro="">
      <xdr:nvGraphicFramePr>
        <xdr:cNvPr id="21" name="Chart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5881421</xdr:colOff>
      <xdr:row>98</xdr:row>
      <xdr:rowOff>21945</xdr:rowOff>
    </xdr:from>
    <xdr:to>
      <xdr:col>4</xdr:col>
      <xdr:colOff>54458</xdr:colOff>
      <xdr:row>110</xdr:row>
      <xdr:rowOff>21945</xdr:rowOff>
    </xdr:to>
    <xdr:graphicFrame macro="">
      <xdr:nvGraphicFramePr>
        <xdr:cNvPr id="22" name="Chart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2354529</xdr:colOff>
      <xdr:row>111</xdr:row>
      <xdr:rowOff>40031</xdr:rowOff>
    </xdr:from>
    <xdr:to>
      <xdr:col>0</xdr:col>
      <xdr:colOff>5298796</xdr:colOff>
      <xdr:row>123</xdr:row>
      <xdr:rowOff>83922</xdr:rowOff>
    </xdr:to>
    <xdr:graphicFrame macro="">
      <xdr:nvGraphicFramePr>
        <xdr:cNvPr id="23" name="Chart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2348179</xdr:colOff>
      <xdr:row>124</xdr:row>
      <xdr:rowOff>71222</xdr:rowOff>
    </xdr:from>
    <xdr:to>
      <xdr:col>0</xdr:col>
      <xdr:colOff>5292446</xdr:colOff>
      <xdr:row>136</xdr:row>
      <xdr:rowOff>71222</xdr:rowOff>
    </xdr:to>
    <xdr:graphicFrame macro="">
      <xdr:nvGraphicFramePr>
        <xdr:cNvPr id="24" name="Chart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5832297</xdr:colOff>
      <xdr:row>111</xdr:row>
      <xdr:rowOff>14631</xdr:rowOff>
    </xdr:from>
    <xdr:to>
      <xdr:col>4</xdr:col>
      <xdr:colOff>5334</xdr:colOff>
      <xdr:row>123</xdr:row>
      <xdr:rowOff>58522</xdr:rowOff>
    </xdr:to>
    <xdr:graphicFrame macro="">
      <xdr:nvGraphicFramePr>
        <xdr:cNvPr id="25" name="Chart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5851347</xdr:colOff>
      <xdr:row>124</xdr:row>
      <xdr:rowOff>45822</xdr:rowOff>
    </xdr:from>
    <xdr:to>
      <xdr:col>4</xdr:col>
      <xdr:colOff>24384</xdr:colOff>
      <xdr:row>136</xdr:row>
      <xdr:rowOff>45822</xdr:rowOff>
    </xdr:to>
    <xdr:graphicFrame macro="">
      <xdr:nvGraphicFramePr>
        <xdr:cNvPr id="26" name="Chart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0.70922</cdr:x>
      <cdr:y>0.02703</cdr:y>
    </cdr:from>
    <cdr:to>
      <cdr:x>0.99291</cdr:x>
      <cdr:y>0.12545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86693" y="61791"/>
          <a:ext cx="1034685" cy="224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  <a:latin typeface="Source Sans Pro" panose="020B0503030403020204" pitchFamily="34" charset="0"/>
            </a:rPr>
            <a:t>2016: n=11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94135</xdr:colOff>
      <xdr:row>0</xdr:row>
      <xdr:rowOff>95250</xdr:rowOff>
    </xdr:from>
    <xdr:to>
      <xdr:col>0</xdr:col>
      <xdr:colOff>1539874</xdr:colOff>
      <xdr:row>2</xdr:row>
      <xdr:rowOff>334328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5" y="95250"/>
          <a:ext cx="1445739" cy="70262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94135</xdr:colOff>
      <xdr:row>0</xdr:row>
      <xdr:rowOff>95250</xdr:rowOff>
    </xdr:from>
    <xdr:to>
      <xdr:col>0</xdr:col>
      <xdr:colOff>1539874</xdr:colOff>
      <xdr:row>2</xdr:row>
      <xdr:rowOff>334328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5" y="95250"/>
          <a:ext cx="1445739" cy="69945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69713</xdr:colOff>
      <xdr:row>0</xdr:row>
      <xdr:rowOff>57336</xdr:rowOff>
    </xdr:from>
    <xdr:to>
      <xdr:col>0</xdr:col>
      <xdr:colOff>1538654</xdr:colOff>
      <xdr:row>2</xdr:row>
      <xdr:rowOff>365331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13" y="57336"/>
          <a:ext cx="1468941" cy="76519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90715</xdr:colOff>
      <xdr:row>0</xdr:row>
      <xdr:rowOff>87086</xdr:rowOff>
    </xdr:from>
    <xdr:to>
      <xdr:col>0</xdr:col>
      <xdr:colOff>1705429</xdr:colOff>
      <xdr:row>2</xdr:row>
      <xdr:rowOff>327947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5" y="87086"/>
          <a:ext cx="1614714" cy="85046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88900</xdr:rowOff>
    </xdr:from>
    <xdr:to>
      <xdr:col>0</xdr:col>
      <xdr:colOff>1741714</xdr:colOff>
      <xdr:row>2</xdr:row>
      <xdr:rowOff>329761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88900"/>
          <a:ext cx="1614714" cy="85046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63500</xdr:rowOff>
    </xdr:from>
    <xdr:to>
      <xdr:col>0</xdr:col>
      <xdr:colOff>1729014</xdr:colOff>
      <xdr:row>2</xdr:row>
      <xdr:rowOff>304361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3500"/>
          <a:ext cx="1614714" cy="85046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460857</xdr:colOff>
      <xdr:row>1</xdr:row>
      <xdr:rowOff>14631</xdr:rowOff>
    </xdr:from>
    <xdr:to>
      <xdr:col>3</xdr:col>
      <xdr:colOff>147266</xdr:colOff>
      <xdr:row>2</xdr:row>
      <xdr:rowOff>131522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857" y="226772"/>
          <a:ext cx="1617622" cy="892302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6</xdr:row>
      <xdr:rowOff>7315</xdr:rowOff>
    </xdr:from>
    <xdr:to>
      <xdr:col>11</xdr:col>
      <xdr:colOff>526695</xdr:colOff>
      <xdr:row>30</xdr:row>
      <xdr:rowOff>168250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1</xdr:rowOff>
    </xdr:from>
    <xdr:to>
      <xdr:col>11</xdr:col>
      <xdr:colOff>512064</xdr:colOff>
      <xdr:row>55</xdr:row>
      <xdr:rowOff>124359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69713</xdr:colOff>
      <xdr:row>0</xdr:row>
      <xdr:rowOff>57336</xdr:rowOff>
    </xdr:from>
    <xdr:to>
      <xdr:col>0</xdr:col>
      <xdr:colOff>1538654</xdr:colOff>
      <xdr:row>2</xdr:row>
      <xdr:rowOff>365331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13" y="57336"/>
          <a:ext cx="1468941" cy="76519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0.88375</cdr:x>
      <cdr:y>0.93321</cdr:y>
    </cdr:from>
    <cdr:to>
      <cdr:x>0.9795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49084" y="4806792"/>
          <a:ext cx="850416" cy="344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  <a:latin typeface="Source Sans Pro" panose="020B0503030403020204" pitchFamily="34" charset="0"/>
            </a:rPr>
            <a:t>2015: n=88</a:t>
          </a:r>
        </a:p>
        <a:p xmlns:a="http://schemas.openxmlformats.org/drawingml/2006/main"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  <a:latin typeface="Source Sans Pro" panose="020B0503030403020204" pitchFamily="34" charset="0"/>
            </a:rPr>
            <a:t>2016: n=77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0.90447</cdr:x>
      <cdr:y>0.89119</cdr:y>
    </cdr:from>
    <cdr:to>
      <cdr:x>0.99135</cdr:x>
      <cdr:y>0.96137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71818" y="4368800"/>
          <a:ext cx="765782" cy="344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  <a:latin typeface="Source Sans Pro" panose="020B0503030403020204" pitchFamily="34" charset="0"/>
            </a:rPr>
            <a:t>2015: n=88</a:t>
          </a:r>
        </a:p>
        <a:p xmlns:a="http://schemas.openxmlformats.org/drawingml/2006/main"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  <a:latin typeface="Source Sans Pro" panose="020B0503030403020204" pitchFamily="34" charset="0"/>
            </a:rPr>
            <a:t>2016: n=77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0.90705</cdr:x>
      <cdr:y>0.91384</cdr:y>
    </cdr:from>
    <cdr:to>
      <cdr:x>0.99382</cdr:x>
      <cdr:y>0.98058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102600" y="4800600"/>
          <a:ext cx="775073" cy="350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  <a:latin typeface="Source Sans Pro" panose="020B0503030403020204" pitchFamily="34" charset="0"/>
            </a:rPr>
            <a:t>2015: n=88</a:t>
          </a:r>
        </a:p>
        <a:p xmlns:a="http://schemas.openxmlformats.org/drawingml/2006/main"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  <a:latin typeface="Source Sans Pro" panose="020B0503030403020204" pitchFamily="34" charset="0"/>
            </a:rPr>
            <a:t>2016: n=77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0.71304</cdr:x>
      <cdr:y>0.02718</cdr:y>
    </cdr:from>
    <cdr:to>
      <cdr:x>0.97391</cdr:x>
      <cdr:y>0.12671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82800" y="61438"/>
          <a:ext cx="762000" cy="224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  <a:latin typeface="Source Sans Pro" panose="020B0503030403020204" pitchFamily="34" charset="0"/>
            </a:rPr>
            <a:t>2015: n=45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0.7136</cdr:x>
      <cdr:y>0.02793</cdr:y>
    </cdr:from>
    <cdr:to>
      <cdr:x>1</cdr:x>
      <cdr:y>0.12691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98650" y="63500"/>
          <a:ext cx="762000" cy="224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  <a:latin typeface="Source Sans Pro" panose="020B0503030403020204" pitchFamily="34" charset="0"/>
            </a:rPr>
            <a:t>2016: n=50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0.73856</cdr:x>
      <cdr:y>0.05525</cdr:y>
    </cdr:from>
    <cdr:to>
      <cdr:x>1</cdr:x>
      <cdr:y>0.15313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127000"/>
          <a:ext cx="762000" cy="224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  <a:latin typeface="Source Sans Pro" panose="020B0503030403020204" pitchFamily="34" charset="0"/>
            </a:rPr>
            <a:t>2015: n=30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0.74304</cdr:x>
      <cdr:y>0.02762</cdr:y>
    </cdr:from>
    <cdr:to>
      <cdr:x>1</cdr:x>
      <cdr:y>0.1255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03450" y="63500"/>
          <a:ext cx="762000" cy="224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  <a:latin typeface="Source Sans Pro" panose="020B0503030403020204" pitchFamily="34" charset="0"/>
            </a:rPr>
            <a:t>2015: n=13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0.7136</cdr:x>
      <cdr:y>0.03804</cdr:y>
    </cdr:from>
    <cdr:to>
      <cdr:x>1</cdr:x>
      <cdr:y>0.13433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98650" y="88900"/>
          <a:ext cx="762000" cy="224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  <a:latin typeface="Source Sans Pro" panose="020B0503030403020204" pitchFamily="34" charset="0"/>
            </a:rPr>
            <a:t>2016: n=16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ieBrown/Desktop/2015%20Salary%20Survey%20D501_Amie%20notes%2003.29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Median By FTEs"/>
      <sheetName val="Median By Region"/>
      <sheetName val="Median Per Region 2013-2015"/>
      <sheetName val="Median Per Countries_States"/>
      <sheetName val="Median Adj by exc 2013-2015"/>
      <sheetName val="Currency Comparison"/>
      <sheetName val="Median Per Coun 2013-2015 ($)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USD/EUR</v>
          </cell>
          <cell r="C1" t="str">
            <v>USD/AUD</v>
          </cell>
          <cell r="D1" t="str">
            <v>USD/CAD</v>
          </cell>
          <cell r="E1" t="str">
            <v>USD/BRL</v>
          </cell>
          <cell r="J1" t="str">
            <v>EUR/USD</v>
          </cell>
          <cell r="K1" t="str">
            <v>AUD/USD</v>
          </cell>
          <cell r="L1" t="str">
            <v>CAD/USD</v>
          </cell>
          <cell r="M1" t="str">
            <v>BRL/USD</v>
          </cell>
        </row>
        <row r="2">
          <cell r="A2">
            <v>2013</v>
          </cell>
          <cell r="B2">
            <v>0.75315299999999996</v>
          </cell>
          <cell r="C2">
            <v>1.0368900000000001</v>
          </cell>
          <cell r="D2">
            <v>1.0301899999999999</v>
          </cell>
          <cell r="E2">
            <v>2.1593300000000002</v>
          </cell>
          <cell r="I2">
            <v>2013</v>
          </cell>
          <cell r="J2">
            <v>1.3282700000000001</v>
          </cell>
          <cell r="K2">
            <v>0.96764499999999998</v>
          </cell>
          <cell r="L2">
            <v>0.97106599999999998</v>
          </cell>
          <cell r="M2">
            <v>0.46512500000000001</v>
          </cell>
        </row>
        <row r="3">
          <cell r="A3">
            <v>2014</v>
          </cell>
          <cell r="B3">
            <v>0.75388999999999995</v>
          </cell>
          <cell r="C3">
            <v>1.1099399999999999</v>
          </cell>
          <cell r="D3">
            <v>1.10453</v>
          </cell>
          <cell r="E3">
            <v>2.3528600000000002</v>
          </cell>
          <cell r="I3">
            <v>2014</v>
          </cell>
          <cell r="J3">
            <v>1.32866</v>
          </cell>
          <cell r="K3">
            <v>0.90236499999999997</v>
          </cell>
          <cell r="L3">
            <v>0.90576000000000001</v>
          </cell>
          <cell r="M3">
            <v>0.42636000000000002</v>
          </cell>
        </row>
        <row r="4">
          <cell r="A4">
            <v>2015</v>
          </cell>
          <cell r="B4">
            <v>0.90131099999999997</v>
          </cell>
          <cell r="C4">
            <v>1.3316399999999999</v>
          </cell>
          <cell r="D4">
            <v>1.2784899999999999</v>
          </cell>
          <cell r="E4">
            <v>3.3348</v>
          </cell>
          <cell r="I4">
            <v>2015</v>
          </cell>
          <cell r="J4">
            <v>1.11025</v>
          </cell>
          <cell r="K4">
            <v>0.75240899999999999</v>
          </cell>
          <cell r="L4">
            <v>0.78344000000000003</v>
          </cell>
          <cell r="M4">
            <v>0.304954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1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1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CN161"/>
  <sheetViews>
    <sheetView tabSelected="1" workbookViewId="0">
      <selection activeCell="F137" sqref="A1:F137"/>
    </sheetView>
  </sheetViews>
  <sheetFormatPr baseColWidth="10" defaultColWidth="10.6640625" defaultRowHeight="15" x14ac:dyDescent="0.2"/>
  <cols>
    <col min="1" max="1" width="90.83203125" customWidth="1"/>
    <col min="2" max="2" width="12.1640625" customWidth="1"/>
    <col min="5" max="6" width="10.6640625" style="67"/>
    <col min="7" max="7" width="35.83203125" style="68" customWidth="1"/>
    <col min="8" max="17" width="10.6640625" style="68" customWidth="1"/>
    <col min="18" max="24" width="10.6640625" style="68"/>
  </cols>
  <sheetData>
    <row r="1" spans="1:92" s="4" customFormat="1" ht="17" customHeight="1" x14ac:dyDescent="0.15">
      <c r="A1" s="135" t="s">
        <v>203</v>
      </c>
      <c r="B1" s="135"/>
      <c r="C1" s="135"/>
      <c r="D1" s="135"/>
      <c r="E1" s="135"/>
      <c r="F1" s="114"/>
      <c r="G1" s="194"/>
      <c r="H1" s="194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</row>
    <row r="2" spans="1:92" s="4" customFormat="1" ht="61" customHeight="1" x14ac:dyDescent="0.2">
      <c r="A2" s="135"/>
      <c r="B2" s="135"/>
      <c r="C2" s="135"/>
      <c r="D2" s="135"/>
      <c r="E2" s="135"/>
      <c r="F2" s="114"/>
      <c r="G2" s="61"/>
      <c r="H2" s="194"/>
      <c r="I2" s="195"/>
      <c r="J2" s="195"/>
      <c r="K2" s="195"/>
      <c r="L2" s="195"/>
      <c r="M2" s="195"/>
      <c r="N2" s="195"/>
      <c r="O2" s="195">
        <v>77</v>
      </c>
      <c r="P2" s="196" t="s">
        <v>206</v>
      </c>
      <c r="Q2" s="195"/>
      <c r="R2" s="195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</row>
    <row r="3" spans="1:92" s="4" customFormat="1" ht="56" customHeight="1" x14ac:dyDescent="0.2">
      <c r="A3" s="188" t="s">
        <v>304</v>
      </c>
      <c r="B3" s="189"/>
      <c r="C3" s="189"/>
      <c r="D3" s="189"/>
      <c r="E3" s="189"/>
      <c r="F3" s="115"/>
      <c r="G3" s="61"/>
      <c r="H3" s="197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2"/>
      <c r="T3" s="2"/>
      <c r="U3" s="2"/>
      <c r="V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</row>
    <row r="4" spans="1:92" s="6" customFormat="1" x14ac:dyDescent="0.2">
      <c r="E4" s="116"/>
      <c r="F4" s="116"/>
      <c r="G4" s="61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11"/>
      <c r="T4" s="111"/>
      <c r="U4" s="111"/>
      <c r="V4" s="111"/>
      <c r="W4" s="111"/>
      <c r="X4" s="11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</row>
    <row r="5" spans="1:92" s="9" customFormat="1" ht="30" x14ac:dyDescent="0.3">
      <c r="A5" s="137" t="s">
        <v>152</v>
      </c>
      <c r="B5" s="137"/>
      <c r="C5" s="137"/>
      <c r="D5" s="137"/>
      <c r="E5" s="137"/>
      <c r="F5" s="117"/>
      <c r="G5" s="61"/>
      <c r="H5" s="197"/>
      <c r="I5" s="198"/>
      <c r="J5" s="197"/>
      <c r="K5" s="197"/>
      <c r="L5" s="197"/>
      <c r="M5" s="197"/>
      <c r="N5" s="197"/>
      <c r="O5" s="197"/>
      <c r="P5" s="197"/>
      <c r="Q5" s="197"/>
      <c r="R5" s="197"/>
      <c r="S5" s="8"/>
      <c r="T5" s="8"/>
      <c r="U5" s="8"/>
      <c r="V5" s="8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x14ac:dyDescent="0.2">
      <c r="A6" s="63"/>
      <c r="B6" s="64"/>
      <c r="C6" s="64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92" ht="18" x14ac:dyDescent="0.2">
      <c r="A7" s="140" t="s">
        <v>150</v>
      </c>
      <c r="B7" s="141"/>
      <c r="C7" s="141"/>
      <c r="D7" s="141"/>
      <c r="E7" s="141"/>
      <c r="F7" s="141"/>
      <c r="G7" s="199"/>
      <c r="H7" s="199" t="s">
        <v>134</v>
      </c>
      <c r="I7" s="199" t="s">
        <v>62</v>
      </c>
      <c r="J7" s="199" t="s">
        <v>118</v>
      </c>
      <c r="K7" s="199" t="s">
        <v>135</v>
      </c>
      <c r="L7" s="199" t="s">
        <v>136</v>
      </c>
      <c r="M7" s="200" t="s">
        <v>137</v>
      </c>
      <c r="N7" s="199"/>
      <c r="O7" s="199"/>
      <c r="P7" s="61"/>
      <c r="Q7" s="61"/>
      <c r="R7" s="61"/>
    </row>
    <row r="8" spans="1:92" x14ac:dyDescent="0.2">
      <c r="A8" s="65" t="s">
        <v>134</v>
      </c>
      <c r="B8" s="62">
        <v>0.62</v>
      </c>
      <c r="C8" s="62">
        <v>0.67</v>
      </c>
      <c r="G8" s="61">
        <v>2015</v>
      </c>
      <c r="H8" s="62">
        <v>0.67</v>
      </c>
      <c r="I8" s="62">
        <v>0.14000000000000001</v>
      </c>
      <c r="J8" s="62">
        <v>0.09</v>
      </c>
      <c r="K8" s="62">
        <v>0.02</v>
      </c>
      <c r="L8" s="62">
        <v>0.01</v>
      </c>
      <c r="M8" s="62">
        <v>7.0000000000000007E-2</v>
      </c>
      <c r="N8" s="61"/>
      <c r="O8" s="61"/>
      <c r="P8" s="61"/>
      <c r="Q8" s="61"/>
      <c r="R8" s="61"/>
    </row>
    <row r="9" spans="1:92" x14ac:dyDescent="0.2">
      <c r="A9" s="65" t="s">
        <v>62</v>
      </c>
      <c r="B9" s="62">
        <v>0.16</v>
      </c>
      <c r="C9" s="62">
        <v>0.14000000000000001</v>
      </c>
      <c r="G9" s="61">
        <v>2016</v>
      </c>
      <c r="H9" s="62">
        <f>52/77</f>
        <v>0.67532467532467533</v>
      </c>
      <c r="I9" s="62">
        <f>12/77</f>
        <v>0.15584415584415584</v>
      </c>
      <c r="J9" s="62">
        <f>6/77</f>
        <v>7.792207792207792E-2</v>
      </c>
      <c r="K9" s="62">
        <f>1/77</f>
        <v>1.2987012987012988E-2</v>
      </c>
      <c r="L9" s="62">
        <f>1/77</f>
        <v>1.2987012987012988E-2</v>
      </c>
      <c r="M9" s="62">
        <f>5/77</f>
        <v>6.4935064935064929E-2</v>
      </c>
      <c r="N9" s="61"/>
      <c r="O9" s="61"/>
      <c r="P9" s="61"/>
      <c r="Q9" s="61"/>
      <c r="R9" s="61"/>
    </row>
    <row r="10" spans="1:92" x14ac:dyDescent="0.2">
      <c r="A10" s="65" t="s">
        <v>118</v>
      </c>
      <c r="B10" s="62">
        <v>0.09</v>
      </c>
      <c r="C10" s="62">
        <v>0.09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92" x14ac:dyDescent="0.2">
      <c r="A11" s="65" t="s">
        <v>135</v>
      </c>
      <c r="B11" s="62">
        <v>0.01</v>
      </c>
      <c r="C11" s="62">
        <v>0.02</v>
      </c>
      <c r="G11" s="199"/>
      <c r="H11" s="199" t="s">
        <v>142</v>
      </c>
      <c r="I11" s="199" t="s">
        <v>143</v>
      </c>
      <c r="J11" s="199" t="s">
        <v>141</v>
      </c>
      <c r="K11" s="199"/>
      <c r="L11" s="199"/>
      <c r="M11" s="199"/>
      <c r="N11" s="199" t="s">
        <v>142</v>
      </c>
      <c r="O11" s="199" t="s">
        <v>143</v>
      </c>
      <c r="P11" s="199" t="s">
        <v>141</v>
      </c>
      <c r="Q11" s="199"/>
      <c r="R11" s="61"/>
    </row>
    <row r="12" spans="1:92" x14ac:dyDescent="0.2">
      <c r="A12" s="65" t="s">
        <v>136</v>
      </c>
      <c r="B12" s="62">
        <v>0.03</v>
      </c>
      <c r="C12" s="62">
        <v>0.01</v>
      </c>
      <c r="G12" s="61">
        <v>2015</v>
      </c>
      <c r="H12" s="61">
        <v>45</v>
      </c>
      <c r="I12" s="61">
        <v>30</v>
      </c>
      <c r="J12" s="61">
        <v>13</v>
      </c>
      <c r="K12" s="61">
        <f>SUM(H12:J12)</f>
        <v>88</v>
      </c>
      <c r="L12" s="61"/>
      <c r="M12" s="61">
        <v>2015</v>
      </c>
      <c r="N12" s="201">
        <f>H12/K12</f>
        <v>0.51136363636363635</v>
      </c>
      <c r="O12" s="201">
        <f>I12/K12</f>
        <v>0.34090909090909088</v>
      </c>
      <c r="P12" s="201">
        <f>J12/K12</f>
        <v>0.14772727272727273</v>
      </c>
      <c r="Q12" s="201">
        <f>SUM(N12:P12)</f>
        <v>1</v>
      </c>
      <c r="R12" s="61"/>
    </row>
    <row r="13" spans="1:92" x14ac:dyDescent="0.2">
      <c r="A13" s="65" t="s">
        <v>137</v>
      </c>
      <c r="B13" s="62">
        <v>0.09</v>
      </c>
      <c r="C13" s="62">
        <v>7.0000000000000007E-2</v>
      </c>
      <c r="G13" s="61">
        <v>2016</v>
      </c>
      <c r="H13" s="61">
        <v>50</v>
      </c>
      <c r="I13" s="61">
        <v>16</v>
      </c>
      <c r="J13" s="61">
        <v>11</v>
      </c>
      <c r="K13" s="61">
        <f>SUM(H13:J13)</f>
        <v>77</v>
      </c>
      <c r="L13" s="61"/>
      <c r="M13" s="61">
        <v>2016</v>
      </c>
      <c r="N13" s="201">
        <f>H13/K13</f>
        <v>0.64935064935064934</v>
      </c>
      <c r="O13" s="201">
        <f>I13/K13</f>
        <v>0.20779220779220781</v>
      </c>
      <c r="P13" s="201">
        <f>J13/K13</f>
        <v>0.14285714285714285</v>
      </c>
      <c r="Q13" s="201">
        <f>SUM(N13:P13)</f>
        <v>1</v>
      </c>
      <c r="R13" s="61"/>
    </row>
    <row r="14" spans="1:92" x14ac:dyDescent="0.2">
      <c r="A14" s="63" t="s">
        <v>138</v>
      </c>
      <c r="B14" s="62"/>
      <c r="C14" s="62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92" x14ac:dyDescent="0.2">
      <c r="A15" s="61"/>
      <c r="B15" s="66" t="s">
        <v>139</v>
      </c>
      <c r="C15" s="66" t="s">
        <v>140</v>
      </c>
      <c r="G15" s="199">
        <v>2015</v>
      </c>
      <c r="H15" s="199" t="s">
        <v>142</v>
      </c>
      <c r="I15" s="199" t="s">
        <v>143</v>
      </c>
      <c r="J15" s="199" t="s">
        <v>141</v>
      </c>
      <c r="K15" s="199"/>
      <c r="L15" s="199">
        <v>2015</v>
      </c>
      <c r="M15" s="199">
        <v>67</v>
      </c>
      <c r="N15" s="199" t="s">
        <v>143</v>
      </c>
      <c r="O15" s="199"/>
      <c r="P15" s="199" t="s">
        <v>141</v>
      </c>
      <c r="Q15" s="199"/>
      <c r="R15" s="61"/>
    </row>
    <row r="16" spans="1:92" x14ac:dyDescent="0.2">
      <c r="G16" s="65" t="s">
        <v>134</v>
      </c>
      <c r="H16" s="201">
        <v>0.68888888888888888</v>
      </c>
      <c r="I16" s="201">
        <v>0.6333333333333333</v>
      </c>
      <c r="J16" s="201">
        <v>0.69230769230769229</v>
      </c>
      <c r="K16" s="61"/>
      <c r="L16" s="61"/>
      <c r="M16" s="65" t="s">
        <v>134</v>
      </c>
      <c r="N16" s="201">
        <v>0.6333333333333333</v>
      </c>
      <c r="O16" s="65" t="s">
        <v>134</v>
      </c>
      <c r="P16" s="201">
        <v>0.69230769230769229</v>
      </c>
      <c r="Q16" s="61"/>
      <c r="R16" s="61"/>
    </row>
    <row r="17" spans="7:18" x14ac:dyDescent="0.2">
      <c r="G17" s="65" t="s">
        <v>144</v>
      </c>
      <c r="H17" s="201">
        <v>0.31111111111111112</v>
      </c>
      <c r="I17" s="201">
        <v>0.36666666666666664</v>
      </c>
      <c r="J17" s="201">
        <v>0.30769230769230771</v>
      </c>
      <c r="K17" s="61"/>
      <c r="L17" s="61"/>
      <c r="M17" s="65" t="s">
        <v>144</v>
      </c>
      <c r="N17" s="201">
        <v>0.36666666666666664</v>
      </c>
      <c r="O17" s="65" t="s">
        <v>144</v>
      </c>
      <c r="P17" s="201">
        <v>0.30769230769230771</v>
      </c>
      <c r="Q17" s="61"/>
      <c r="R17" s="61"/>
    </row>
    <row r="18" spans="7:18" x14ac:dyDescent="0.2">
      <c r="G18" s="61"/>
      <c r="H18" s="61"/>
      <c r="I18" s="61"/>
      <c r="J18" s="61"/>
      <c r="K18" s="61"/>
      <c r="L18" s="61"/>
      <c r="M18" s="61">
        <v>2</v>
      </c>
      <c r="N18" s="61"/>
      <c r="O18" s="61"/>
      <c r="P18" s="61"/>
      <c r="Q18" s="61"/>
      <c r="R18" s="61"/>
    </row>
    <row r="19" spans="7:18" x14ac:dyDescent="0.2">
      <c r="G19" s="199">
        <v>2016</v>
      </c>
      <c r="H19" s="199" t="s">
        <v>142</v>
      </c>
      <c r="I19" s="199" t="s">
        <v>143</v>
      </c>
      <c r="J19" s="199" t="s">
        <v>141</v>
      </c>
      <c r="K19" s="199"/>
      <c r="L19" s="199">
        <v>2016</v>
      </c>
      <c r="M19" s="199"/>
      <c r="N19" s="202" t="s">
        <v>143</v>
      </c>
      <c r="O19" s="61"/>
      <c r="P19" s="61" t="s">
        <v>141</v>
      </c>
      <c r="Q19" s="61"/>
      <c r="R19" s="61"/>
    </row>
    <row r="20" spans="7:18" x14ac:dyDescent="0.2">
      <c r="G20" s="65" t="s">
        <v>134</v>
      </c>
      <c r="H20" s="201">
        <f>34/50</f>
        <v>0.68</v>
      </c>
      <c r="I20" s="201">
        <f>12/16</f>
        <v>0.75</v>
      </c>
      <c r="J20" s="201">
        <f>6/11</f>
        <v>0.54545454545454541</v>
      </c>
      <c r="K20" s="61">
        <f>34+12+6</f>
        <v>52</v>
      </c>
      <c r="L20" s="61"/>
      <c r="M20" s="65" t="s">
        <v>134</v>
      </c>
      <c r="N20" s="201">
        <f>12/16</f>
        <v>0.75</v>
      </c>
      <c r="O20" s="65" t="s">
        <v>134</v>
      </c>
      <c r="P20" s="201">
        <f>6/11</f>
        <v>0.54545454545454541</v>
      </c>
      <c r="Q20" s="61"/>
      <c r="R20" s="61"/>
    </row>
    <row r="21" spans="7:18" x14ac:dyDescent="0.2">
      <c r="G21" s="65" t="s">
        <v>144</v>
      </c>
      <c r="H21" s="201">
        <f>16/50</f>
        <v>0.32</v>
      </c>
      <c r="I21" s="201">
        <f>4/16</f>
        <v>0.25</v>
      </c>
      <c r="J21" s="201">
        <f>5/11</f>
        <v>0.45454545454545453</v>
      </c>
      <c r="K21" s="61">
        <f>9+16</f>
        <v>25</v>
      </c>
      <c r="L21" s="61"/>
      <c r="M21" s="65" t="s">
        <v>144</v>
      </c>
      <c r="N21" s="201">
        <f>4/16</f>
        <v>0.25</v>
      </c>
      <c r="O21" s="65" t="s">
        <v>144</v>
      </c>
      <c r="P21" s="201">
        <f>5/11</f>
        <v>0.45454545454545453</v>
      </c>
      <c r="Q21" s="61"/>
      <c r="R21" s="61"/>
    </row>
    <row r="22" spans="7:18" x14ac:dyDescent="0.2"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7:18" x14ac:dyDescent="0.2"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7:18" x14ac:dyDescent="0.2">
      <c r="G24" s="69"/>
      <c r="H24" s="113"/>
      <c r="I24" s="113"/>
      <c r="J24" s="113"/>
    </row>
    <row r="25" spans="7:18" x14ac:dyDescent="0.2">
      <c r="G25" s="69"/>
      <c r="H25" s="113"/>
      <c r="I25" s="113"/>
      <c r="J25" s="113"/>
    </row>
    <row r="26" spans="7:18" x14ac:dyDescent="0.2">
      <c r="H26" s="112"/>
      <c r="I26" s="112"/>
      <c r="J26" s="112"/>
    </row>
    <row r="37" spans="1:6" ht="53" customHeight="1" x14ac:dyDescent="0.2">
      <c r="A37" s="142" t="s">
        <v>151</v>
      </c>
      <c r="B37" s="141"/>
      <c r="C37" s="141"/>
      <c r="D37" s="141"/>
      <c r="E37" s="141"/>
      <c r="F37" s="141"/>
    </row>
    <row r="38" spans="1:6" ht="19" x14ac:dyDescent="0.2">
      <c r="A38" s="84"/>
    </row>
    <row r="39" spans="1:6" ht="19" x14ac:dyDescent="0.2">
      <c r="A39" s="84"/>
    </row>
    <row r="96" spans="1:6" ht="51.75" customHeight="1" x14ac:dyDescent="0.2">
      <c r="A96" s="138" t="s">
        <v>205</v>
      </c>
      <c r="B96" s="139"/>
      <c r="C96" s="139"/>
      <c r="D96" s="139"/>
      <c r="E96" s="139"/>
      <c r="F96" s="139"/>
    </row>
    <row r="111" spans="1:4" x14ac:dyDescent="0.2">
      <c r="A111" s="67"/>
      <c r="B111" s="67"/>
      <c r="C111" s="67"/>
      <c r="D111" s="67"/>
    </row>
    <row r="138" spans="14:24" s="67" customFormat="1" x14ac:dyDescent="0.2"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</row>
    <row r="139" spans="14:24" s="67" customFormat="1" x14ac:dyDescent="0.2"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</row>
    <row r="140" spans="14:24" s="67" customFormat="1" x14ac:dyDescent="0.2"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</row>
    <row r="141" spans="14:24" s="67" customFormat="1" x14ac:dyDescent="0.2"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</row>
    <row r="142" spans="14:24" s="67" customFormat="1" x14ac:dyDescent="0.2"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</row>
    <row r="143" spans="14:24" s="67" customFormat="1" x14ac:dyDescent="0.2"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</row>
    <row r="144" spans="14:24" s="67" customFormat="1" x14ac:dyDescent="0.2"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</row>
    <row r="145" spans="14:24" s="67" customFormat="1" x14ac:dyDescent="0.2"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</row>
    <row r="146" spans="14:24" s="67" customFormat="1" x14ac:dyDescent="0.2"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</row>
    <row r="147" spans="14:24" s="67" customFormat="1" x14ac:dyDescent="0.2"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</row>
    <row r="148" spans="14:24" s="67" customFormat="1" x14ac:dyDescent="0.2"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</row>
    <row r="149" spans="14:24" s="67" customFormat="1" x14ac:dyDescent="0.2"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</row>
    <row r="150" spans="14:24" s="67" customFormat="1" x14ac:dyDescent="0.2"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</row>
    <row r="151" spans="14:24" s="67" customFormat="1" x14ac:dyDescent="0.2"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</row>
    <row r="152" spans="14:24" s="67" customFormat="1" x14ac:dyDescent="0.2"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</row>
    <row r="153" spans="14:24" s="67" customFormat="1" x14ac:dyDescent="0.2"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</row>
    <row r="154" spans="14:24" s="67" customFormat="1" x14ac:dyDescent="0.2"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</row>
    <row r="155" spans="14:24" s="67" customFormat="1" x14ac:dyDescent="0.2"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</row>
    <row r="156" spans="14:24" s="67" customFormat="1" x14ac:dyDescent="0.2"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</row>
    <row r="157" spans="14:24" s="67" customFormat="1" x14ac:dyDescent="0.2"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</row>
    <row r="158" spans="14:24" s="67" customFormat="1" x14ac:dyDescent="0.2"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</row>
    <row r="159" spans="14:24" s="67" customFormat="1" x14ac:dyDescent="0.2"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</row>
    <row r="160" spans="14:24" s="67" customFormat="1" x14ac:dyDescent="0.2"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</row>
    <row r="161" spans="14:24" s="67" customFormat="1" x14ac:dyDescent="0.2"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</row>
  </sheetData>
  <mergeCells count="6">
    <mergeCell ref="A1:E2"/>
    <mergeCell ref="A3:E3"/>
    <mergeCell ref="A5:E5"/>
    <mergeCell ref="A96:F96"/>
    <mergeCell ref="A7:F7"/>
    <mergeCell ref="A37:F37"/>
  </mergeCells>
  <phoneticPr fontId="54" type="noConversion"/>
  <pageMargins left="0.7" right="0.7" top="0.75" bottom="0.75" header="0.3" footer="0.3"/>
  <pageSetup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CN99"/>
  <sheetViews>
    <sheetView workbookViewId="0">
      <pane ySplit="7" topLeftCell="A72" activePane="bottomLeft" state="frozen"/>
      <selection activeCell="F137" sqref="A1:F137"/>
      <selection pane="bottomLeft" activeCell="F137" sqref="A1:F137"/>
    </sheetView>
  </sheetViews>
  <sheetFormatPr baseColWidth="10" defaultColWidth="8.83203125" defaultRowHeight="14" x14ac:dyDescent="0.15"/>
  <cols>
    <col min="1" max="1" width="42.83203125" style="10" bestFit="1" customWidth="1"/>
    <col min="2" max="2" width="23.6640625" style="10" customWidth="1"/>
    <col min="3" max="3" width="1.83203125" style="10" customWidth="1"/>
    <col min="4" max="4" width="23.6640625" style="10" customWidth="1"/>
    <col min="5" max="5" width="1.83203125" style="10" customWidth="1"/>
    <col min="6" max="6" width="23.83203125" style="7" customWidth="1"/>
    <col min="7" max="7" width="9.6640625" style="7" bestFit="1" customWidth="1"/>
    <col min="8" max="8" width="8.83203125" style="7"/>
    <col min="9" max="10" width="9.6640625" style="7" bestFit="1" customWidth="1"/>
    <col min="11" max="90" width="8.83203125" style="7"/>
    <col min="91" max="16384" width="8.83203125" style="10"/>
  </cols>
  <sheetData>
    <row r="1" spans="1:92" s="4" customFormat="1" ht="17" customHeight="1" x14ac:dyDescent="0.15">
      <c r="A1" s="143"/>
      <c r="B1" s="144" t="s">
        <v>207</v>
      </c>
      <c r="C1" s="144"/>
      <c r="D1" s="144"/>
      <c r="E1" s="144"/>
      <c r="F1" s="14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2" s="4" customFormat="1" ht="19.5" customHeight="1" x14ac:dyDescent="0.15">
      <c r="A2" s="143"/>
      <c r="B2" s="144"/>
      <c r="C2" s="144"/>
      <c r="D2" s="144"/>
      <c r="E2" s="144"/>
      <c r="F2" s="14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2" s="4" customFormat="1" ht="38" customHeight="1" x14ac:dyDescent="0.15">
      <c r="A3" s="143"/>
      <c r="B3" s="145" t="s">
        <v>304</v>
      </c>
      <c r="C3" s="145"/>
      <c r="D3" s="145"/>
      <c r="E3" s="145"/>
      <c r="F3" s="14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2" s="6" customFormat="1" x14ac:dyDescent="0.1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</row>
    <row r="5" spans="1:92" s="9" customFormat="1" ht="30" x14ac:dyDescent="0.3">
      <c r="A5" s="137" t="s">
        <v>94</v>
      </c>
      <c r="B5" s="137"/>
      <c r="C5" s="137"/>
      <c r="D5" s="137"/>
      <c r="E5" s="137"/>
      <c r="F5" s="137"/>
      <c r="G5" s="5"/>
      <c r="H5" s="5"/>
      <c r="I5" s="5"/>
      <c r="J5" s="5"/>
      <c r="K5" s="5"/>
      <c r="L5" s="5"/>
      <c r="M5" s="5"/>
      <c r="N5" s="5"/>
      <c r="O5" s="5"/>
      <c r="P5" s="5"/>
      <c r="Q5" s="8"/>
      <c r="R5" s="8"/>
      <c r="S5" s="8"/>
      <c r="T5" s="8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</row>
    <row r="6" spans="1:92" ht="29.75" customHeight="1" x14ac:dyDescent="0.15">
      <c r="A6" s="146" t="s">
        <v>202</v>
      </c>
      <c r="B6" s="146"/>
      <c r="C6" s="146"/>
      <c r="D6" s="146"/>
      <c r="E6" s="146"/>
      <c r="F6" s="146"/>
    </row>
    <row r="7" spans="1:92" ht="37.5" customHeight="1" x14ac:dyDescent="0.15">
      <c r="A7" s="12" t="s">
        <v>0</v>
      </c>
      <c r="B7" s="13" t="s">
        <v>95</v>
      </c>
      <c r="C7" s="83"/>
      <c r="D7" s="13" t="s">
        <v>120</v>
      </c>
      <c r="E7" s="83"/>
      <c r="F7" s="13" t="s">
        <v>121</v>
      </c>
      <c r="CM7" s="7"/>
    </row>
    <row r="8" spans="1:92" ht="16" customHeight="1" thickBot="1" x14ac:dyDescent="0.2">
      <c r="A8" s="14" t="s">
        <v>103</v>
      </c>
      <c r="B8" s="14"/>
      <c r="C8" s="14"/>
      <c r="D8" s="14"/>
      <c r="E8" s="14"/>
      <c r="F8" s="14"/>
      <c r="CM8" s="7"/>
      <c r="CN8" s="7"/>
    </row>
    <row r="9" spans="1:92" ht="17" customHeight="1" thickBot="1" x14ac:dyDescent="0.2">
      <c r="A9" s="16" t="s">
        <v>271</v>
      </c>
      <c r="B9" s="165" t="s">
        <v>220</v>
      </c>
      <c r="C9" s="127"/>
      <c r="D9" s="165" t="s">
        <v>216</v>
      </c>
      <c r="E9" s="127"/>
      <c r="F9" s="165" t="s">
        <v>216</v>
      </c>
      <c r="CM9" s="7"/>
      <c r="CN9" s="7"/>
    </row>
    <row r="10" spans="1:92" ht="17" customHeight="1" thickBot="1" x14ac:dyDescent="0.2">
      <c r="A10" s="16" t="s">
        <v>99</v>
      </c>
      <c r="B10" s="165" t="s">
        <v>210</v>
      </c>
      <c r="C10" s="83"/>
      <c r="D10" s="165" t="s">
        <v>215</v>
      </c>
      <c r="E10" s="83"/>
      <c r="F10" s="165" t="s">
        <v>216</v>
      </c>
      <c r="CM10" s="7"/>
      <c r="CN10" s="7"/>
    </row>
    <row r="11" spans="1:92" ht="17" customHeight="1" thickBot="1" x14ac:dyDescent="0.2">
      <c r="A11" s="16" t="s">
        <v>1</v>
      </c>
      <c r="B11" s="165" t="s">
        <v>211</v>
      </c>
      <c r="C11" s="83"/>
      <c r="D11" s="165" t="s">
        <v>216</v>
      </c>
      <c r="E11" s="83"/>
      <c r="F11" s="165" t="s">
        <v>216</v>
      </c>
      <c r="CM11" s="7"/>
      <c r="CN11" s="7"/>
    </row>
    <row r="12" spans="1:92" ht="17" customHeight="1" thickBot="1" x14ac:dyDescent="0.2">
      <c r="A12" s="16" t="s">
        <v>2</v>
      </c>
      <c r="B12" s="165" t="s">
        <v>212</v>
      </c>
      <c r="C12" s="83"/>
      <c r="D12" s="165" t="s">
        <v>213</v>
      </c>
      <c r="E12" s="83"/>
      <c r="F12" s="165" t="s">
        <v>216</v>
      </c>
      <c r="CM12" s="7"/>
      <c r="CN12" s="7"/>
    </row>
    <row r="13" spans="1:92" ht="17" customHeight="1" thickBot="1" x14ac:dyDescent="0.2">
      <c r="A13" s="16" t="s">
        <v>3</v>
      </c>
      <c r="B13" s="165" t="s">
        <v>211</v>
      </c>
      <c r="C13" s="83"/>
      <c r="D13" s="165" t="s">
        <v>210</v>
      </c>
      <c r="E13" s="83"/>
      <c r="F13" s="165" t="s">
        <v>212</v>
      </c>
      <c r="CM13" s="7"/>
      <c r="CN13" s="7"/>
    </row>
    <row r="14" spans="1:92" ht="17" customHeight="1" thickBot="1" x14ac:dyDescent="0.2">
      <c r="A14" s="16" t="s">
        <v>69</v>
      </c>
      <c r="B14" s="165" t="s">
        <v>213</v>
      </c>
      <c r="C14" s="83"/>
      <c r="D14" s="165" t="s">
        <v>216</v>
      </c>
      <c r="E14" s="83"/>
      <c r="F14" s="165" t="s">
        <v>218</v>
      </c>
      <c r="CM14" s="7"/>
      <c r="CN14" s="7"/>
    </row>
    <row r="15" spans="1:92" ht="17" customHeight="1" thickBot="1" x14ac:dyDescent="0.2">
      <c r="A15" s="16" t="s">
        <v>100</v>
      </c>
      <c r="B15" s="165" t="s">
        <v>213</v>
      </c>
      <c r="C15" s="83"/>
      <c r="D15" s="165" t="s">
        <v>211</v>
      </c>
      <c r="E15" s="83"/>
      <c r="F15" s="165" t="s">
        <v>218</v>
      </c>
      <c r="CM15" s="7"/>
      <c r="CN15" s="7"/>
    </row>
    <row r="16" spans="1:92" ht="17" customHeight="1" thickBot="1" x14ac:dyDescent="0.2">
      <c r="A16" s="16" t="s">
        <v>98</v>
      </c>
      <c r="B16" s="165" t="s">
        <v>212</v>
      </c>
      <c r="C16" s="83"/>
      <c r="D16" s="165" t="s">
        <v>213</v>
      </c>
      <c r="E16" s="83"/>
      <c r="F16" s="165" t="s">
        <v>213</v>
      </c>
      <c r="CM16" s="7"/>
      <c r="CN16" s="7"/>
    </row>
    <row r="17" spans="1:92" ht="17" customHeight="1" thickBot="1" x14ac:dyDescent="0.2">
      <c r="A17" s="16" t="s">
        <v>4</v>
      </c>
      <c r="B17" s="165" t="s">
        <v>214</v>
      </c>
      <c r="C17" s="83"/>
      <c r="D17" s="165" t="s">
        <v>217</v>
      </c>
      <c r="E17" s="83"/>
      <c r="F17" s="165" t="s">
        <v>214</v>
      </c>
      <c r="CM17" s="7"/>
      <c r="CN17" s="7"/>
    </row>
    <row r="18" spans="1:92" ht="17" customHeight="1" thickBot="1" x14ac:dyDescent="0.25">
      <c r="A18" s="16" t="s">
        <v>72</v>
      </c>
      <c r="B18" s="165" t="s">
        <v>221</v>
      </c>
      <c r="C18" s="83"/>
      <c r="D18" s="165" t="s">
        <v>131</v>
      </c>
      <c r="E18" s="83"/>
      <c r="F18" s="165" t="s">
        <v>221</v>
      </c>
      <c r="G18" s="87"/>
      <c r="H18" s="88" t="s">
        <v>127</v>
      </c>
      <c r="I18" s="89">
        <v>85500</v>
      </c>
      <c r="K18" s="70"/>
      <c r="CM18" s="7"/>
      <c r="CN18" s="7"/>
    </row>
    <row r="19" spans="1:92" ht="16" customHeight="1" thickBot="1" x14ac:dyDescent="0.2">
      <c r="A19" s="14" t="s">
        <v>5</v>
      </c>
      <c r="B19" s="14"/>
      <c r="C19" s="14"/>
      <c r="D19" s="14"/>
      <c r="E19" s="14"/>
      <c r="F19" s="14"/>
      <c r="CM19" s="7"/>
      <c r="CN19" s="7"/>
    </row>
    <row r="20" spans="1:92" ht="17" customHeight="1" thickBot="1" x14ac:dyDescent="0.25">
      <c r="A20" s="16" t="s">
        <v>303</v>
      </c>
      <c r="B20" s="165" t="s">
        <v>219</v>
      </c>
      <c r="C20" s="127"/>
      <c r="D20" s="165" t="s">
        <v>223</v>
      </c>
      <c r="E20" s="127"/>
      <c r="F20" s="165" t="s">
        <v>224</v>
      </c>
      <c r="G20" s="87"/>
      <c r="H20" s="88"/>
      <c r="I20" s="89"/>
      <c r="CM20" s="7"/>
      <c r="CN20" s="7"/>
    </row>
    <row r="21" spans="1:92" ht="17" customHeight="1" thickBot="1" x14ac:dyDescent="0.25">
      <c r="A21" s="16" t="s">
        <v>269</v>
      </c>
      <c r="B21" s="165" t="s">
        <v>210</v>
      </c>
      <c r="C21" s="127"/>
      <c r="D21" s="165" t="s">
        <v>219</v>
      </c>
      <c r="E21" s="127"/>
      <c r="F21" s="165" t="s">
        <v>215</v>
      </c>
      <c r="G21" s="87"/>
      <c r="H21" s="88"/>
      <c r="I21" s="89"/>
      <c r="CM21" s="7"/>
      <c r="CN21" s="7"/>
    </row>
    <row r="22" spans="1:92" ht="17" customHeight="1" thickBot="1" x14ac:dyDescent="0.25">
      <c r="A22" s="16" t="s">
        <v>71</v>
      </c>
      <c r="B22" s="165" t="s">
        <v>211</v>
      </c>
      <c r="C22" s="127"/>
      <c r="D22" s="165" t="s">
        <v>223</v>
      </c>
      <c r="E22" s="127"/>
      <c r="F22" s="165" t="s">
        <v>224</v>
      </c>
      <c r="G22" s="87"/>
      <c r="H22" s="88"/>
      <c r="I22" s="89"/>
      <c r="CM22" s="7"/>
      <c r="CN22" s="7"/>
    </row>
    <row r="23" spans="1:92" ht="17" customHeight="1" thickBot="1" x14ac:dyDescent="0.25">
      <c r="A23" s="16" t="s">
        <v>70</v>
      </c>
      <c r="B23" s="165" t="s">
        <v>220</v>
      </c>
      <c r="C23" s="127"/>
      <c r="D23" s="165" t="s">
        <v>215</v>
      </c>
      <c r="E23" s="127"/>
      <c r="F23" s="165" t="s">
        <v>220</v>
      </c>
      <c r="G23" s="87"/>
      <c r="H23" s="88"/>
      <c r="I23" s="89"/>
      <c r="K23" s="70"/>
      <c r="CM23" s="7"/>
      <c r="CN23" s="7"/>
    </row>
    <row r="24" spans="1:92" ht="17" customHeight="1" thickBot="1" x14ac:dyDescent="0.25">
      <c r="A24" s="16" t="s">
        <v>92</v>
      </c>
      <c r="B24" s="165" t="s">
        <v>211</v>
      </c>
      <c r="C24" s="127"/>
      <c r="D24" s="165" t="s">
        <v>220</v>
      </c>
      <c r="E24" s="127"/>
      <c r="F24" s="165" t="s">
        <v>220</v>
      </c>
      <c r="G24" s="87"/>
      <c r="H24" s="88"/>
      <c r="I24" s="89"/>
      <c r="K24" s="70"/>
      <c r="L24" s="70"/>
      <c r="CM24" s="7"/>
      <c r="CN24" s="7"/>
    </row>
    <row r="25" spans="1:92" ht="17" customHeight="1" thickBot="1" x14ac:dyDescent="0.25">
      <c r="A25" s="16" t="s">
        <v>270</v>
      </c>
      <c r="B25" s="165" t="s">
        <v>214</v>
      </c>
      <c r="C25" s="127"/>
      <c r="D25" s="165" t="s">
        <v>217</v>
      </c>
      <c r="E25" s="127"/>
      <c r="F25" s="165" t="s">
        <v>217</v>
      </c>
      <c r="G25" s="87"/>
      <c r="H25" s="88"/>
      <c r="I25" s="89"/>
      <c r="K25" s="70"/>
      <c r="L25" s="70"/>
      <c r="CM25" s="7"/>
      <c r="CN25" s="7"/>
    </row>
    <row r="26" spans="1:92" ht="17" customHeight="1" thickBot="1" x14ac:dyDescent="0.25">
      <c r="A26" s="16" t="s">
        <v>7</v>
      </c>
      <c r="B26" s="165" t="s">
        <v>218</v>
      </c>
      <c r="C26" s="127"/>
      <c r="D26" s="165" t="s">
        <v>218</v>
      </c>
      <c r="E26" s="127"/>
      <c r="F26" s="165" t="s">
        <v>212</v>
      </c>
      <c r="G26" s="87"/>
      <c r="H26" s="88"/>
      <c r="I26" s="89"/>
      <c r="K26" s="70"/>
      <c r="L26" s="70"/>
      <c r="CM26" s="7"/>
      <c r="CN26" s="7"/>
    </row>
    <row r="27" spans="1:92" ht="17" customHeight="1" thickBot="1" x14ac:dyDescent="0.25">
      <c r="A27" s="16" t="s">
        <v>6</v>
      </c>
      <c r="B27" s="165" t="s">
        <v>218</v>
      </c>
      <c r="C27" s="127"/>
      <c r="D27" s="165" t="s">
        <v>216</v>
      </c>
      <c r="E27" s="127"/>
      <c r="F27" s="165" t="s">
        <v>212</v>
      </c>
      <c r="G27" s="87"/>
      <c r="H27" s="88"/>
      <c r="I27" s="89"/>
      <c r="CM27" s="7"/>
      <c r="CN27" s="7"/>
    </row>
    <row r="28" spans="1:92" ht="16" customHeight="1" thickBot="1" x14ac:dyDescent="0.2">
      <c r="A28" s="14" t="s">
        <v>8</v>
      </c>
      <c r="B28" s="14"/>
      <c r="C28" s="14"/>
      <c r="D28" s="14"/>
      <c r="E28" s="14"/>
      <c r="F28" s="14"/>
      <c r="CM28" s="7"/>
      <c r="CN28" s="7"/>
    </row>
    <row r="29" spans="1:92" ht="17" customHeight="1" thickBot="1" x14ac:dyDescent="0.25">
      <c r="A29" s="16" t="s">
        <v>272</v>
      </c>
      <c r="B29" s="165" t="s">
        <v>130</v>
      </c>
      <c r="C29" s="127"/>
      <c r="D29" s="165" t="s">
        <v>216</v>
      </c>
      <c r="E29" s="127"/>
      <c r="F29" s="165" t="s">
        <v>216</v>
      </c>
      <c r="G29" s="87"/>
      <c r="H29" s="88"/>
      <c r="I29" s="89"/>
      <c r="CM29" s="7"/>
      <c r="CN29" s="7"/>
    </row>
    <row r="30" spans="1:92" ht="17" customHeight="1" thickBot="1" x14ac:dyDescent="0.25">
      <c r="A30" s="16" t="s">
        <v>273</v>
      </c>
      <c r="B30" s="165" t="s">
        <v>216</v>
      </c>
      <c r="C30" s="127"/>
      <c r="D30" s="165" t="s">
        <v>210</v>
      </c>
      <c r="E30" s="127"/>
      <c r="F30" s="165" t="s">
        <v>210</v>
      </c>
      <c r="G30" s="87"/>
      <c r="H30" s="88"/>
      <c r="I30" s="89"/>
      <c r="CM30" s="7"/>
      <c r="CN30" s="7"/>
    </row>
    <row r="31" spans="1:92" ht="17" customHeight="1" thickBot="1" x14ac:dyDescent="0.25">
      <c r="A31" s="16" t="s">
        <v>73</v>
      </c>
      <c r="B31" s="165" t="s">
        <v>216</v>
      </c>
      <c r="C31" s="127"/>
      <c r="D31" s="165" t="s">
        <v>220</v>
      </c>
      <c r="E31" s="127"/>
      <c r="F31" s="165" t="s">
        <v>211</v>
      </c>
      <c r="G31" s="87"/>
      <c r="H31" s="88" t="s">
        <v>48</v>
      </c>
      <c r="I31" s="89">
        <f>(101000+110000)/2</f>
        <v>105500</v>
      </c>
      <c r="CM31" s="7"/>
      <c r="CN31" s="7"/>
    </row>
    <row r="32" spans="1:92" ht="17" customHeight="1" thickBot="1" x14ac:dyDescent="0.25">
      <c r="A32" s="16" t="s">
        <v>274</v>
      </c>
      <c r="B32" s="165" t="s">
        <v>211</v>
      </c>
      <c r="C32" s="127"/>
      <c r="D32" s="165" t="s">
        <v>130</v>
      </c>
      <c r="E32" s="127"/>
      <c r="F32" s="165" t="s">
        <v>216</v>
      </c>
      <c r="G32" s="87"/>
      <c r="H32" s="88"/>
      <c r="I32" s="89"/>
      <c r="CM32" s="7"/>
      <c r="CN32" s="7"/>
    </row>
    <row r="33" spans="1:92" ht="17" customHeight="1" thickBot="1" x14ac:dyDescent="0.25">
      <c r="A33" s="16" t="s">
        <v>74</v>
      </c>
      <c r="B33" s="165" t="s">
        <v>218</v>
      </c>
      <c r="C33" s="127"/>
      <c r="D33" s="165" t="s">
        <v>211</v>
      </c>
      <c r="E33" s="127"/>
      <c r="F33" s="165" t="s">
        <v>210</v>
      </c>
      <c r="G33" s="87"/>
      <c r="H33" s="88" t="s">
        <v>42</v>
      </c>
      <c r="I33" s="89">
        <f>(111000+125000)/2</f>
        <v>118000</v>
      </c>
      <c r="CM33" s="7"/>
      <c r="CN33" s="7"/>
    </row>
    <row r="34" spans="1:92" ht="17" customHeight="1" thickBot="1" x14ac:dyDescent="0.25">
      <c r="A34" s="16" t="s">
        <v>75</v>
      </c>
      <c r="B34" s="165" t="s">
        <v>217</v>
      </c>
      <c r="C34" s="127"/>
      <c r="D34" s="165" t="s">
        <v>212</v>
      </c>
      <c r="E34" s="127"/>
      <c r="F34" s="165" t="s">
        <v>214</v>
      </c>
      <c r="G34" s="87"/>
      <c r="H34" s="88" t="s">
        <v>38</v>
      </c>
      <c r="I34" s="89">
        <f>(126000+150000)/2</f>
        <v>138000</v>
      </c>
      <c r="CM34" s="7"/>
      <c r="CN34" s="7"/>
    </row>
    <row r="35" spans="1:92" ht="17" customHeight="1" thickBot="1" x14ac:dyDescent="0.25">
      <c r="A35" s="16" t="s">
        <v>76</v>
      </c>
      <c r="B35" s="165" t="s">
        <v>212</v>
      </c>
      <c r="C35" s="127"/>
      <c r="D35" s="165" t="s">
        <v>220</v>
      </c>
      <c r="E35" s="127"/>
      <c r="F35" s="165" t="s">
        <v>212</v>
      </c>
      <c r="G35" s="87"/>
      <c r="H35" s="88" t="s">
        <v>45</v>
      </c>
      <c r="I35" s="89">
        <f>(151000+175000)/2</f>
        <v>163000</v>
      </c>
      <c r="CM35" s="7"/>
      <c r="CN35" s="7"/>
    </row>
    <row r="36" spans="1:92" ht="17" customHeight="1" thickBot="1" x14ac:dyDescent="0.25">
      <c r="A36" s="16" t="s">
        <v>77</v>
      </c>
      <c r="B36" s="165" t="s">
        <v>217</v>
      </c>
      <c r="C36" s="127"/>
      <c r="D36" s="165" t="s">
        <v>217</v>
      </c>
      <c r="E36" s="127"/>
      <c r="F36" s="165" t="s">
        <v>222</v>
      </c>
      <c r="G36" s="87"/>
      <c r="H36" s="88" t="s">
        <v>49</v>
      </c>
      <c r="I36" s="89">
        <f>(176000+200000)/2</f>
        <v>188000</v>
      </c>
      <c r="CM36" s="7"/>
      <c r="CN36" s="7"/>
    </row>
    <row r="37" spans="1:92" ht="16" customHeight="1" thickBot="1" x14ac:dyDescent="0.2">
      <c r="A37" s="14" t="s">
        <v>293</v>
      </c>
      <c r="B37" s="14"/>
      <c r="C37" s="14"/>
      <c r="D37" s="14"/>
      <c r="E37" s="14"/>
      <c r="F37" s="14"/>
      <c r="CM37" s="7"/>
      <c r="CN37" s="7"/>
    </row>
    <row r="38" spans="1:92" ht="17" customHeight="1" thickBot="1" x14ac:dyDescent="0.25">
      <c r="A38" s="16" t="s">
        <v>284</v>
      </c>
      <c r="B38" s="165" t="s">
        <v>220</v>
      </c>
      <c r="C38" s="127"/>
      <c r="D38" s="165" t="s">
        <v>224</v>
      </c>
      <c r="E38" s="127"/>
      <c r="F38" s="165" t="s">
        <v>210</v>
      </c>
      <c r="G38" s="87"/>
      <c r="H38" s="88" t="s">
        <v>122</v>
      </c>
      <c r="I38" s="89">
        <v>251000</v>
      </c>
      <c r="CM38" s="7"/>
      <c r="CN38" s="7"/>
    </row>
    <row r="39" spans="1:92" ht="17" customHeight="1" thickBot="1" x14ac:dyDescent="0.25">
      <c r="A39" s="16" t="s">
        <v>283</v>
      </c>
      <c r="B39" s="165" t="s">
        <v>210</v>
      </c>
      <c r="C39" s="127"/>
      <c r="D39" s="165" t="s">
        <v>224</v>
      </c>
      <c r="E39" s="127"/>
      <c r="F39" s="165" t="s">
        <v>215</v>
      </c>
      <c r="G39" s="87"/>
      <c r="H39" s="88"/>
      <c r="I39" s="89"/>
      <c r="CM39" s="7"/>
      <c r="CN39" s="7"/>
    </row>
    <row r="40" spans="1:92" ht="17" customHeight="1" thickBot="1" x14ac:dyDescent="0.25">
      <c r="A40" s="16" t="s">
        <v>285</v>
      </c>
      <c r="B40" s="165" t="s">
        <v>216</v>
      </c>
      <c r="C40" s="127"/>
      <c r="D40" s="165" t="s">
        <v>216</v>
      </c>
      <c r="E40" s="127"/>
      <c r="F40" s="165" t="s">
        <v>216</v>
      </c>
      <c r="G40" s="87"/>
      <c r="H40" s="88"/>
      <c r="I40" s="89"/>
      <c r="CM40" s="7"/>
      <c r="CN40" s="7"/>
    </row>
    <row r="41" spans="1:92" ht="17" customHeight="1" thickBot="1" x14ac:dyDescent="0.25">
      <c r="A41" s="16" t="s">
        <v>80</v>
      </c>
      <c r="B41" s="165" t="s">
        <v>211</v>
      </c>
      <c r="C41" s="127"/>
      <c r="D41" s="165" t="s">
        <v>210</v>
      </c>
      <c r="E41" s="127"/>
      <c r="F41" s="165" t="s">
        <v>220</v>
      </c>
      <c r="G41" s="87"/>
      <c r="H41" s="88"/>
      <c r="I41" s="89"/>
      <c r="CM41" s="7"/>
      <c r="CN41" s="7"/>
    </row>
    <row r="42" spans="1:92" ht="17" customHeight="1" thickBot="1" x14ac:dyDescent="0.25">
      <c r="A42" s="16" t="s">
        <v>81</v>
      </c>
      <c r="B42" s="165" t="s">
        <v>213</v>
      </c>
      <c r="C42" s="127"/>
      <c r="D42" s="165" t="s">
        <v>211</v>
      </c>
      <c r="E42" s="127"/>
      <c r="F42" s="165" t="s">
        <v>213</v>
      </c>
      <c r="G42" s="87"/>
      <c r="H42" s="88"/>
      <c r="I42" s="89"/>
      <c r="CM42" s="7"/>
      <c r="CN42" s="7"/>
    </row>
    <row r="43" spans="1:92" ht="17" customHeight="1" thickBot="1" x14ac:dyDescent="0.25">
      <c r="A43" s="16" t="s">
        <v>225</v>
      </c>
      <c r="B43" s="165" t="s">
        <v>213</v>
      </c>
      <c r="C43" s="127"/>
      <c r="D43" s="165" t="s">
        <v>218</v>
      </c>
      <c r="E43" s="127"/>
      <c r="F43" s="165" t="s">
        <v>213</v>
      </c>
      <c r="G43" s="87"/>
      <c r="H43" s="88"/>
      <c r="I43" s="89"/>
      <c r="CM43" s="7"/>
      <c r="CN43" s="7"/>
    </row>
    <row r="44" spans="1:92" ht="17" customHeight="1" thickBot="1" x14ac:dyDescent="0.25">
      <c r="A44" s="16" t="s">
        <v>226</v>
      </c>
      <c r="B44" s="165" t="s">
        <v>217</v>
      </c>
      <c r="C44" s="127"/>
      <c r="D44" s="165" t="s">
        <v>212</v>
      </c>
      <c r="E44" s="127"/>
      <c r="F44" s="165" t="s">
        <v>212</v>
      </c>
      <c r="G44" s="87"/>
      <c r="H44" s="88"/>
      <c r="I44" s="89"/>
      <c r="CM44" s="7"/>
      <c r="CN44" s="7"/>
    </row>
    <row r="45" spans="1:92" ht="17" customHeight="1" thickBot="1" x14ac:dyDescent="0.25">
      <c r="A45" s="16" t="s">
        <v>12</v>
      </c>
      <c r="B45" s="165" t="s">
        <v>130</v>
      </c>
      <c r="C45" s="127"/>
      <c r="D45" s="165" t="s">
        <v>130</v>
      </c>
      <c r="E45" s="127"/>
      <c r="F45" s="165" t="s">
        <v>130</v>
      </c>
      <c r="G45" s="87"/>
      <c r="H45" s="88"/>
      <c r="I45" s="89"/>
      <c r="CM45" s="7"/>
      <c r="CN45" s="7"/>
    </row>
    <row r="46" spans="1:92" ht="17" customHeight="1" thickBot="1" x14ac:dyDescent="0.25">
      <c r="A46" s="16" t="s">
        <v>11</v>
      </c>
      <c r="B46" s="165" t="s">
        <v>130</v>
      </c>
      <c r="C46" s="127"/>
      <c r="D46" s="165" t="s">
        <v>130</v>
      </c>
      <c r="E46" s="127"/>
      <c r="F46" s="165" t="s">
        <v>130</v>
      </c>
      <c r="G46" s="87"/>
      <c r="H46" s="88"/>
      <c r="I46" s="89"/>
      <c r="CM46" s="7"/>
      <c r="CN46" s="7"/>
    </row>
    <row r="47" spans="1:92" ht="17" customHeight="1" thickBot="1" x14ac:dyDescent="0.25">
      <c r="A47" s="16" t="s">
        <v>86</v>
      </c>
      <c r="B47" s="165" t="s">
        <v>130</v>
      </c>
      <c r="C47" s="127"/>
      <c r="D47" s="165" t="s">
        <v>130</v>
      </c>
      <c r="E47" s="127"/>
      <c r="F47" s="165" t="s">
        <v>130</v>
      </c>
      <c r="G47" s="87"/>
      <c r="H47" s="88"/>
      <c r="I47" s="89"/>
      <c r="CM47" s="7"/>
      <c r="CN47" s="7"/>
    </row>
    <row r="48" spans="1:92" ht="17" customHeight="1" thickBot="1" x14ac:dyDescent="0.25">
      <c r="A48" s="16" t="s">
        <v>87</v>
      </c>
      <c r="B48" s="165" t="s">
        <v>217</v>
      </c>
      <c r="C48" s="127"/>
      <c r="D48" s="165" t="s">
        <v>212</v>
      </c>
      <c r="E48" s="127"/>
      <c r="F48" s="165" t="s">
        <v>212</v>
      </c>
      <c r="G48" s="87"/>
      <c r="H48" s="88"/>
      <c r="I48" s="89"/>
      <c r="CM48" s="7"/>
      <c r="CN48" s="7"/>
    </row>
    <row r="49" spans="1:92" ht="17" customHeight="1" thickBot="1" x14ac:dyDescent="0.25">
      <c r="A49" s="16" t="s">
        <v>88</v>
      </c>
      <c r="B49" s="165" t="s">
        <v>214</v>
      </c>
      <c r="C49" s="127"/>
      <c r="D49" s="165" t="s">
        <v>218</v>
      </c>
      <c r="E49" s="127"/>
      <c r="F49" s="165" t="s">
        <v>212</v>
      </c>
      <c r="G49" s="87"/>
      <c r="H49" s="88"/>
      <c r="I49" s="89"/>
      <c r="CM49" s="7"/>
      <c r="CN49" s="7"/>
    </row>
    <row r="50" spans="1:92" ht="17" customHeight="1" thickBot="1" x14ac:dyDescent="0.25">
      <c r="A50" s="16" t="s">
        <v>123</v>
      </c>
      <c r="B50" s="165" t="s">
        <v>214</v>
      </c>
      <c r="C50" s="127"/>
      <c r="D50" s="165" t="s">
        <v>130</v>
      </c>
      <c r="E50" s="127"/>
      <c r="F50" s="165" t="s">
        <v>130</v>
      </c>
      <c r="G50" s="87"/>
      <c r="H50" s="88"/>
      <c r="I50" s="89"/>
      <c r="CM50" s="7"/>
      <c r="CN50" s="7"/>
    </row>
    <row r="51" spans="1:92" ht="16" customHeight="1" thickBot="1" x14ac:dyDescent="0.2">
      <c r="A51" s="14" t="s">
        <v>292</v>
      </c>
      <c r="B51" s="14"/>
      <c r="C51" s="14"/>
      <c r="D51" s="14"/>
      <c r="E51" s="14"/>
      <c r="F51" s="14"/>
      <c r="CM51" s="7"/>
      <c r="CN51" s="7"/>
    </row>
    <row r="52" spans="1:92" ht="17" customHeight="1" thickBot="1" x14ac:dyDescent="0.25">
      <c r="A52" s="16" t="s">
        <v>78</v>
      </c>
      <c r="B52" s="165" t="s">
        <v>213</v>
      </c>
      <c r="C52" s="127"/>
      <c r="D52" s="165" t="s">
        <v>215</v>
      </c>
      <c r="E52" s="127"/>
      <c r="F52" s="165" t="s">
        <v>210</v>
      </c>
      <c r="G52" s="87"/>
      <c r="H52" s="88"/>
      <c r="I52" s="89"/>
      <c r="CM52" s="7"/>
      <c r="CN52" s="7"/>
    </row>
    <row r="53" spans="1:92" ht="17" customHeight="1" thickBot="1" x14ac:dyDescent="0.25">
      <c r="A53" s="16" t="s">
        <v>286</v>
      </c>
      <c r="B53" s="165" t="s">
        <v>218</v>
      </c>
      <c r="C53" s="127"/>
      <c r="D53" s="165" t="s">
        <v>210</v>
      </c>
      <c r="E53" s="127"/>
      <c r="F53" s="165" t="s">
        <v>211</v>
      </c>
      <c r="G53" s="87"/>
      <c r="H53" s="88"/>
      <c r="I53" s="89"/>
      <c r="CM53" s="7"/>
      <c r="CN53" s="7"/>
    </row>
    <row r="54" spans="1:92" ht="17" customHeight="1" thickBot="1" x14ac:dyDescent="0.25">
      <c r="A54" s="16" t="s">
        <v>287</v>
      </c>
      <c r="B54" s="165" t="s">
        <v>212</v>
      </c>
      <c r="C54" s="127"/>
      <c r="D54" s="165" t="s">
        <v>216</v>
      </c>
      <c r="E54" s="127"/>
      <c r="F54" s="165" t="s">
        <v>218</v>
      </c>
      <c r="G54" s="87"/>
      <c r="H54" s="88"/>
      <c r="I54" s="89"/>
      <c r="CM54" s="7"/>
      <c r="CN54" s="7"/>
    </row>
    <row r="55" spans="1:92" ht="17" customHeight="1" thickBot="1" x14ac:dyDescent="0.25">
      <c r="A55" s="16" t="s">
        <v>288</v>
      </c>
      <c r="B55" s="165" t="s">
        <v>212</v>
      </c>
      <c r="C55" s="127"/>
      <c r="D55" s="165" t="s">
        <v>220</v>
      </c>
      <c r="E55" s="127"/>
      <c r="F55" s="165" t="s">
        <v>212</v>
      </c>
      <c r="G55" s="87"/>
      <c r="H55" s="88"/>
      <c r="I55" s="89"/>
      <c r="CM55" s="7"/>
      <c r="CN55" s="7"/>
    </row>
    <row r="56" spans="1:92" ht="17" customHeight="1" thickBot="1" x14ac:dyDescent="0.25">
      <c r="A56" s="16" t="s">
        <v>289</v>
      </c>
      <c r="B56" s="165" t="s">
        <v>213</v>
      </c>
      <c r="C56" s="127"/>
      <c r="D56" s="165" t="s">
        <v>218</v>
      </c>
      <c r="E56" s="127"/>
      <c r="F56" s="165" t="s">
        <v>211</v>
      </c>
      <c r="G56" s="87"/>
      <c r="H56" s="88"/>
      <c r="I56" s="89"/>
      <c r="CM56" s="7"/>
      <c r="CN56" s="7"/>
    </row>
    <row r="57" spans="1:92" ht="17" customHeight="1" thickBot="1" x14ac:dyDescent="0.25">
      <c r="A57" s="16" t="s">
        <v>290</v>
      </c>
      <c r="B57" s="165" t="s">
        <v>212</v>
      </c>
      <c r="C57" s="127"/>
      <c r="D57" s="165" t="s">
        <v>212</v>
      </c>
      <c r="E57" s="127"/>
      <c r="F57" s="165" t="s">
        <v>212</v>
      </c>
      <c r="G57" s="87"/>
      <c r="H57" s="88"/>
      <c r="I57" s="89"/>
      <c r="CM57" s="7"/>
      <c r="CN57" s="7"/>
    </row>
    <row r="58" spans="1:92" ht="17" customHeight="1" thickBot="1" x14ac:dyDescent="0.25">
      <c r="A58" s="16" t="s">
        <v>291</v>
      </c>
      <c r="B58" s="165" t="s">
        <v>302</v>
      </c>
      <c r="C58" s="127"/>
      <c r="D58" s="165" t="s">
        <v>213</v>
      </c>
      <c r="E58" s="127"/>
      <c r="F58" s="165" t="s">
        <v>212</v>
      </c>
      <c r="G58" s="87"/>
      <c r="H58" s="88"/>
      <c r="I58" s="89"/>
      <c r="CM58" s="7"/>
      <c r="CN58" s="7"/>
    </row>
    <row r="59" spans="1:92" ht="17" customHeight="1" thickBot="1" x14ac:dyDescent="0.25">
      <c r="A59" s="16" t="s">
        <v>86</v>
      </c>
      <c r="B59" s="165" t="s">
        <v>214</v>
      </c>
      <c r="C59" s="127"/>
      <c r="D59" s="165" t="s">
        <v>212</v>
      </c>
      <c r="E59" s="127"/>
      <c r="F59" s="165" t="s">
        <v>217</v>
      </c>
      <c r="G59" s="87"/>
      <c r="H59" s="88"/>
      <c r="I59" s="89"/>
      <c r="CM59" s="7"/>
      <c r="CN59" s="7"/>
    </row>
    <row r="60" spans="1:92" ht="16" customHeight="1" thickBot="1" x14ac:dyDescent="0.2">
      <c r="A60" s="14" t="s">
        <v>105</v>
      </c>
      <c r="B60" s="14"/>
      <c r="C60" s="14"/>
      <c r="D60" s="14"/>
      <c r="E60" s="14"/>
      <c r="F60" s="14"/>
      <c r="CM60" s="7"/>
      <c r="CN60" s="7"/>
    </row>
    <row r="61" spans="1:92" ht="17" customHeight="1" thickBot="1" x14ac:dyDescent="0.25">
      <c r="A61" s="16" t="s">
        <v>278</v>
      </c>
      <c r="B61" s="165" t="s">
        <v>218</v>
      </c>
      <c r="C61" s="127"/>
      <c r="D61" s="165" t="s">
        <v>130</v>
      </c>
      <c r="E61" s="127"/>
      <c r="F61" s="165" t="s">
        <v>216</v>
      </c>
      <c r="G61" s="87"/>
      <c r="H61" s="88"/>
      <c r="I61" s="89"/>
      <c r="CM61" s="7"/>
      <c r="CN61" s="7"/>
    </row>
    <row r="62" spans="1:92" ht="17" customHeight="1" thickBot="1" x14ac:dyDescent="0.25">
      <c r="A62" s="16" t="s">
        <v>280</v>
      </c>
      <c r="B62" s="165" t="s">
        <v>211</v>
      </c>
      <c r="C62" s="127"/>
      <c r="D62" s="165" t="s">
        <v>211</v>
      </c>
      <c r="E62" s="127"/>
      <c r="F62" s="165" t="s">
        <v>218</v>
      </c>
      <c r="G62" s="87"/>
      <c r="H62" s="88"/>
      <c r="I62" s="89"/>
      <c r="CM62" s="7"/>
      <c r="CN62" s="7"/>
    </row>
    <row r="63" spans="1:92" ht="17" customHeight="1" thickBot="1" x14ac:dyDescent="0.25">
      <c r="A63" s="16" t="s">
        <v>279</v>
      </c>
      <c r="B63" s="165" t="s">
        <v>213</v>
      </c>
      <c r="C63" s="127"/>
      <c r="D63" s="165" t="s">
        <v>218</v>
      </c>
      <c r="E63" s="127"/>
      <c r="F63" s="165" t="s">
        <v>213</v>
      </c>
      <c r="G63" s="87"/>
      <c r="H63" s="88"/>
      <c r="I63" s="89"/>
      <c r="CM63" s="7"/>
      <c r="CN63" s="7"/>
    </row>
    <row r="64" spans="1:92" ht="17" customHeight="1" thickBot="1" x14ac:dyDescent="0.25">
      <c r="A64" s="16" t="s">
        <v>13</v>
      </c>
      <c r="B64" s="165" t="s">
        <v>217</v>
      </c>
      <c r="C64" s="127"/>
      <c r="D64" s="165" t="s">
        <v>217</v>
      </c>
      <c r="E64" s="127"/>
      <c r="F64" s="165" t="s">
        <v>214</v>
      </c>
      <c r="G64" s="87"/>
      <c r="H64" s="88"/>
      <c r="I64" s="89"/>
      <c r="CM64" s="7"/>
      <c r="CN64" s="7"/>
    </row>
    <row r="65" spans="1:92" ht="16" customHeight="1" thickBot="1" x14ac:dyDescent="0.2">
      <c r="A65" s="14" t="s">
        <v>16</v>
      </c>
      <c r="B65" s="14"/>
      <c r="C65" s="14"/>
      <c r="D65" s="14"/>
      <c r="E65" s="14"/>
      <c r="F65" s="14"/>
      <c r="CM65" s="7"/>
      <c r="CN65" s="7"/>
    </row>
    <row r="66" spans="1:92" ht="17" customHeight="1" thickBot="1" x14ac:dyDescent="0.25">
      <c r="A66" s="16" t="s">
        <v>281</v>
      </c>
      <c r="B66" s="165" t="s">
        <v>130</v>
      </c>
      <c r="C66" s="127"/>
      <c r="D66" s="165" t="s">
        <v>130</v>
      </c>
      <c r="E66" s="127"/>
      <c r="F66" s="165" t="s">
        <v>220</v>
      </c>
      <c r="G66" s="87"/>
      <c r="H66" s="88"/>
      <c r="I66" s="89"/>
      <c r="CM66" s="7"/>
      <c r="CN66" s="7"/>
    </row>
    <row r="67" spans="1:92" ht="17" customHeight="1" thickBot="1" x14ac:dyDescent="0.25">
      <c r="A67" s="16" t="s">
        <v>282</v>
      </c>
      <c r="B67" s="165" t="s">
        <v>213</v>
      </c>
      <c r="C67" s="127"/>
      <c r="D67" s="165" t="s">
        <v>211</v>
      </c>
      <c r="E67" s="127"/>
      <c r="F67" s="165" t="s">
        <v>210</v>
      </c>
      <c r="G67" s="87"/>
      <c r="H67" s="88"/>
      <c r="I67" s="89"/>
      <c r="CM67" s="7"/>
      <c r="CN67" s="7"/>
    </row>
    <row r="68" spans="1:92" ht="17" customHeight="1" thickBot="1" x14ac:dyDescent="0.25">
      <c r="A68" s="16" t="s">
        <v>97</v>
      </c>
      <c r="B68" s="165" t="s">
        <v>212</v>
      </c>
      <c r="C68" s="127"/>
      <c r="D68" s="165" t="s">
        <v>217</v>
      </c>
      <c r="E68" s="127"/>
      <c r="F68" s="165" t="s">
        <v>217</v>
      </c>
      <c r="G68" s="87"/>
      <c r="H68" s="88"/>
      <c r="I68" s="89"/>
      <c r="CM68" s="7"/>
      <c r="CN68" s="7"/>
    </row>
    <row r="69" spans="1:92" ht="17" customHeight="1" thickBot="1" x14ac:dyDescent="0.25">
      <c r="A69" s="16" t="s">
        <v>17</v>
      </c>
      <c r="B69" s="165" t="s">
        <v>222</v>
      </c>
      <c r="C69" s="127"/>
      <c r="D69" s="165" t="s">
        <v>214</v>
      </c>
      <c r="E69" s="127"/>
      <c r="F69" s="165" t="s">
        <v>222</v>
      </c>
      <c r="G69" s="87"/>
      <c r="H69" s="88"/>
      <c r="I69" s="89"/>
      <c r="CM69" s="7"/>
      <c r="CN69" s="7"/>
    </row>
    <row r="70" spans="1:92" ht="16" customHeight="1" thickBot="1" x14ac:dyDescent="0.2">
      <c r="A70" s="14" t="s">
        <v>19</v>
      </c>
      <c r="B70" s="14"/>
      <c r="C70" s="14"/>
      <c r="D70" s="14"/>
      <c r="E70" s="14"/>
      <c r="F70" s="14"/>
      <c r="CM70" s="7"/>
      <c r="CN70" s="7"/>
    </row>
    <row r="71" spans="1:92" ht="17" customHeight="1" thickBot="1" x14ac:dyDescent="0.25">
      <c r="A71" s="16" t="s">
        <v>275</v>
      </c>
      <c r="B71" s="165" t="s">
        <v>218</v>
      </c>
      <c r="C71" s="127"/>
      <c r="D71" s="165" t="s">
        <v>224</v>
      </c>
      <c r="E71" s="127"/>
      <c r="F71" s="165" t="s">
        <v>219</v>
      </c>
      <c r="G71" s="87"/>
      <c r="H71" s="88"/>
      <c r="I71" s="89"/>
      <c r="CM71" s="7"/>
      <c r="CN71" s="7"/>
    </row>
    <row r="72" spans="1:92" ht="17" customHeight="1" thickBot="1" x14ac:dyDescent="0.25">
      <c r="A72" s="16" t="s">
        <v>277</v>
      </c>
      <c r="B72" s="165" t="s">
        <v>216</v>
      </c>
      <c r="C72" s="127"/>
      <c r="D72" s="165" t="s">
        <v>216</v>
      </c>
      <c r="E72" s="127"/>
      <c r="F72" s="165" t="s">
        <v>210</v>
      </c>
      <c r="G72" s="87"/>
      <c r="H72" s="88"/>
      <c r="I72" s="89"/>
      <c r="CM72" s="7"/>
      <c r="CN72" s="7"/>
    </row>
    <row r="73" spans="1:92" ht="17" customHeight="1" thickBot="1" x14ac:dyDescent="0.25">
      <c r="A73" s="16" t="s">
        <v>276</v>
      </c>
      <c r="B73" s="165" t="s">
        <v>216</v>
      </c>
      <c r="C73" s="127"/>
      <c r="D73" s="165" t="s">
        <v>216</v>
      </c>
      <c r="E73" s="127"/>
      <c r="F73" s="165" t="s">
        <v>220</v>
      </c>
      <c r="G73" s="87"/>
      <c r="H73" s="88"/>
      <c r="I73" s="89"/>
      <c r="CM73" s="7"/>
      <c r="CN73" s="7"/>
    </row>
    <row r="74" spans="1:92" ht="17" customHeight="1" thickBot="1" x14ac:dyDescent="0.25">
      <c r="A74" s="16" t="s">
        <v>20</v>
      </c>
      <c r="B74" s="165" t="s">
        <v>211</v>
      </c>
      <c r="C74" s="127"/>
      <c r="D74" s="165" t="s">
        <v>211</v>
      </c>
      <c r="E74" s="127"/>
      <c r="F74" s="165" t="s">
        <v>211</v>
      </c>
      <c r="G74" s="87"/>
      <c r="H74" s="88"/>
      <c r="I74" s="89"/>
      <c r="CM74" s="7"/>
      <c r="CN74" s="7"/>
    </row>
    <row r="75" spans="1:92" ht="17" customHeight="1" thickBot="1" x14ac:dyDescent="0.25">
      <c r="A75" s="16" t="s">
        <v>21</v>
      </c>
      <c r="B75" s="165" t="s">
        <v>217</v>
      </c>
      <c r="C75" s="127"/>
      <c r="D75" s="165" t="s">
        <v>218</v>
      </c>
      <c r="E75" s="127"/>
      <c r="F75" s="165" t="s">
        <v>213</v>
      </c>
      <c r="G75" s="87"/>
      <c r="H75" s="88"/>
      <c r="I75" s="89"/>
      <c r="CM75" s="7"/>
      <c r="CN75" s="7"/>
    </row>
    <row r="76" spans="1:92" ht="16" customHeight="1" thickBot="1" x14ac:dyDescent="0.2">
      <c r="A76" s="14" t="s">
        <v>22</v>
      </c>
      <c r="B76" s="14"/>
      <c r="C76" s="14"/>
      <c r="D76" s="14"/>
      <c r="E76" s="14"/>
      <c r="F76" s="14"/>
      <c r="CM76" s="7"/>
      <c r="CN76" s="7"/>
    </row>
    <row r="77" spans="1:92" ht="17" customHeight="1" thickBot="1" x14ac:dyDescent="0.25">
      <c r="A77" s="16" t="s">
        <v>295</v>
      </c>
      <c r="B77" s="165" t="s">
        <v>211</v>
      </c>
      <c r="C77" s="127"/>
      <c r="D77" s="165" t="s">
        <v>219</v>
      </c>
      <c r="E77" s="127"/>
      <c r="F77" s="165" t="s">
        <v>210</v>
      </c>
      <c r="G77" s="87"/>
      <c r="H77" s="88"/>
      <c r="I77" s="89"/>
      <c r="CM77" s="7"/>
      <c r="CN77" s="7"/>
    </row>
    <row r="78" spans="1:92" ht="17" customHeight="1" thickBot="1" x14ac:dyDescent="0.25">
      <c r="A78" s="16" t="s">
        <v>294</v>
      </c>
      <c r="B78" s="165" t="s">
        <v>213</v>
      </c>
      <c r="C78" s="127"/>
      <c r="D78" s="165" t="s">
        <v>215</v>
      </c>
      <c r="E78" s="127"/>
      <c r="F78" s="165" t="s">
        <v>215</v>
      </c>
      <c r="G78" s="87"/>
      <c r="H78" s="88"/>
      <c r="I78" s="89"/>
      <c r="CM78" s="7"/>
      <c r="CN78" s="7"/>
    </row>
    <row r="79" spans="1:92" ht="17" customHeight="1" thickBot="1" x14ac:dyDescent="0.25">
      <c r="A79" s="16" t="s">
        <v>24</v>
      </c>
      <c r="B79" s="165" t="s">
        <v>210</v>
      </c>
      <c r="C79" s="127"/>
      <c r="D79" s="165" t="s">
        <v>219</v>
      </c>
      <c r="E79" s="127"/>
      <c r="F79" s="165" t="s">
        <v>216</v>
      </c>
      <c r="G79" s="87"/>
      <c r="H79" s="88"/>
      <c r="I79" s="89"/>
      <c r="CM79" s="7"/>
      <c r="CN79" s="7"/>
    </row>
    <row r="80" spans="1:92" ht="17" customHeight="1" thickBot="1" x14ac:dyDescent="0.25">
      <c r="A80" s="16" t="s">
        <v>29</v>
      </c>
      <c r="B80" s="165" t="s">
        <v>220</v>
      </c>
      <c r="C80" s="127"/>
      <c r="D80" s="165" t="s">
        <v>210</v>
      </c>
      <c r="E80" s="127"/>
      <c r="F80" s="165" t="s">
        <v>220</v>
      </c>
      <c r="G80" s="87"/>
      <c r="H80" s="88"/>
      <c r="I80" s="89"/>
      <c r="CM80" s="7"/>
      <c r="CN80" s="7"/>
    </row>
    <row r="81" spans="1:92" ht="17" customHeight="1" thickBot="1" x14ac:dyDescent="0.25">
      <c r="A81" s="16" t="s">
        <v>28</v>
      </c>
      <c r="B81" s="165" t="s">
        <v>211</v>
      </c>
      <c r="C81" s="127"/>
      <c r="D81" s="165" t="s">
        <v>220</v>
      </c>
      <c r="E81" s="127"/>
      <c r="F81" s="165" t="s">
        <v>211</v>
      </c>
      <c r="G81" s="87"/>
      <c r="H81" s="88"/>
      <c r="I81" s="89"/>
      <c r="CM81" s="7"/>
      <c r="CN81" s="7"/>
    </row>
    <row r="82" spans="1:92" ht="17" customHeight="1" thickBot="1" x14ac:dyDescent="0.25">
      <c r="A82" s="16" t="s">
        <v>25</v>
      </c>
      <c r="B82" s="165" t="s">
        <v>212</v>
      </c>
      <c r="C82" s="127"/>
      <c r="D82" s="165" t="s">
        <v>218</v>
      </c>
      <c r="E82" s="127"/>
      <c r="F82" s="165" t="s">
        <v>213</v>
      </c>
      <c r="G82" s="87"/>
      <c r="H82" s="88"/>
      <c r="I82" s="89"/>
      <c r="CM82" s="7"/>
      <c r="CN82" s="7"/>
    </row>
    <row r="83" spans="1:92" ht="17" customHeight="1" thickBot="1" x14ac:dyDescent="0.25">
      <c r="A83" s="16" t="s">
        <v>27</v>
      </c>
      <c r="B83" s="165" t="s">
        <v>211</v>
      </c>
      <c r="C83" s="127"/>
      <c r="D83" s="165" t="s">
        <v>211</v>
      </c>
      <c r="E83" s="127"/>
      <c r="F83" s="165" t="s">
        <v>211</v>
      </c>
      <c r="G83" s="87"/>
      <c r="H83" s="88"/>
      <c r="I83" s="89"/>
      <c r="CM83" s="7"/>
      <c r="CN83" s="7"/>
    </row>
    <row r="84" spans="1:92" ht="17" customHeight="1" thickBot="1" x14ac:dyDescent="0.25">
      <c r="A84" s="16" t="s">
        <v>23</v>
      </c>
      <c r="B84" s="165" t="s">
        <v>213</v>
      </c>
      <c r="C84" s="127"/>
      <c r="D84" s="165" t="s">
        <v>218</v>
      </c>
      <c r="E84" s="127"/>
      <c r="F84" s="165" t="s">
        <v>218</v>
      </c>
      <c r="G84" s="87"/>
      <c r="H84" s="88"/>
      <c r="I84" s="89"/>
      <c r="CM84" s="7"/>
      <c r="CN84" s="7"/>
    </row>
    <row r="85" spans="1:92" ht="17" customHeight="1" thickBot="1" x14ac:dyDescent="0.25">
      <c r="A85" s="16" t="s">
        <v>296</v>
      </c>
      <c r="B85" s="165" t="s">
        <v>217</v>
      </c>
      <c r="C85" s="127"/>
      <c r="D85" s="165" t="s">
        <v>213</v>
      </c>
      <c r="E85" s="127"/>
      <c r="F85" s="165" t="s">
        <v>217</v>
      </c>
      <c r="G85" s="87"/>
      <c r="H85" s="88"/>
      <c r="I85" s="89"/>
      <c r="CM85" s="7"/>
      <c r="CN85" s="7"/>
    </row>
    <row r="86" spans="1:92" ht="17" customHeight="1" thickBot="1" x14ac:dyDescent="0.25">
      <c r="A86" s="16" t="s">
        <v>125</v>
      </c>
      <c r="B86" s="165" t="s">
        <v>214</v>
      </c>
      <c r="C86" s="127"/>
      <c r="D86" s="165" t="s">
        <v>214</v>
      </c>
      <c r="E86" s="127"/>
      <c r="F86" s="165" t="s">
        <v>218</v>
      </c>
      <c r="G86" s="87"/>
      <c r="H86" s="88"/>
      <c r="I86" s="89"/>
      <c r="CM86" s="7"/>
      <c r="CN86" s="7"/>
    </row>
    <row r="87" spans="1:92" ht="17" customHeight="1" thickBot="1" x14ac:dyDescent="0.25">
      <c r="A87" s="16" t="s">
        <v>90</v>
      </c>
      <c r="B87" s="165" t="s">
        <v>222</v>
      </c>
      <c r="C87" s="127"/>
      <c r="D87" s="165" t="s">
        <v>216</v>
      </c>
      <c r="E87" s="127"/>
      <c r="F87" s="165" t="s">
        <v>217</v>
      </c>
      <c r="G87" s="87"/>
      <c r="H87" s="88"/>
      <c r="I87" s="89"/>
      <c r="CM87" s="7"/>
      <c r="CN87" s="7"/>
    </row>
    <row r="88" spans="1:92" ht="17" customHeight="1" thickBot="1" x14ac:dyDescent="0.25">
      <c r="A88" s="16" t="s">
        <v>26</v>
      </c>
      <c r="B88" s="165" t="s">
        <v>222</v>
      </c>
      <c r="C88" s="127"/>
      <c r="D88" s="165" t="s">
        <v>213</v>
      </c>
      <c r="E88" s="127"/>
      <c r="F88" s="165" t="s">
        <v>218</v>
      </c>
      <c r="G88" s="87"/>
      <c r="H88" s="88"/>
      <c r="I88" s="89"/>
      <c r="CM88" s="7"/>
      <c r="CN88" s="7"/>
    </row>
    <row r="89" spans="1:92" ht="17" customHeight="1" thickBot="1" x14ac:dyDescent="0.25">
      <c r="A89" s="16" t="s">
        <v>91</v>
      </c>
      <c r="B89" s="165" t="s">
        <v>222</v>
      </c>
      <c r="C89" s="127"/>
      <c r="D89" s="165" t="s">
        <v>217</v>
      </c>
      <c r="E89" s="127"/>
      <c r="F89" s="165" t="s">
        <v>222</v>
      </c>
      <c r="G89" s="87"/>
      <c r="H89" s="88"/>
      <c r="I89" s="89"/>
      <c r="CM89" s="7"/>
      <c r="CN89" s="7"/>
    </row>
    <row r="90" spans="1:92" ht="17" customHeight="1" thickBot="1" x14ac:dyDescent="0.25">
      <c r="A90" s="16" t="s">
        <v>297</v>
      </c>
      <c r="B90" s="165" t="s">
        <v>212</v>
      </c>
      <c r="C90" s="127"/>
      <c r="D90" s="165" t="s">
        <v>211</v>
      </c>
      <c r="E90" s="127"/>
      <c r="F90" s="165" t="s">
        <v>217</v>
      </c>
      <c r="G90" s="87"/>
      <c r="H90" s="88"/>
      <c r="I90" s="89"/>
      <c r="CM90" s="7"/>
      <c r="CN90" s="7"/>
    </row>
    <row r="91" spans="1:92" ht="16" customHeight="1" thickBot="1" x14ac:dyDescent="0.2">
      <c r="A91" s="14" t="s">
        <v>107</v>
      </c>
      <c r="B91" s="14"/>
      <c r="C91" s="14"/>
      <c r="D91" s="14"/>
      <c r="E91" s="14"/>
      <c r="F91" s="14"/>
      <c r="CM91" s="7"/>
      <c r="CN91" s="7"/>
    </row>
    <row r="92" spans="1:92" ht="17" customHeight="1" thickBot="1" x14ac:dyDescent="0.25">
      <c r="A92" s="16" t="s">
        <v>15</v>
      </c>
      <c r="B92" s="165" t="s">
        <v>130</v>
      </c>
      <c r="C92" s="127"/>
      <c r="D92" s="165" t="s">
        <v>130</v>
      </c>
      <c r="E92" s="127"/>
      <c r="F92" s="165" t="s">
        <v>220</v>
      </c>
      <c r="G92" s="87"/>
      <c r="H92" s="88"/>
      <c r="I92" s="89"/>
      <c r="CM92" s="7"/>
      <c r="CN92" s="7"/>
    </row>
    <row r="93" spans="1:92" ht="17" customHeight="1" thickBot="1" x14ac:dyDescent="0.25">
      <c r="A93" s="16" t="s">
        <v>298</v>
      </c>
      <c r="B93" s="165" t="s">
        <v>216</v>
      </c>
      <c r="C93" s="127"/>
      <c r="D93" s="165" t="s">
        <v>130</v>
      </c>
      <c r="E93" s="127"/>
      <c r="F93" s="165" t="s">
        <v>218</v>
      </c>
      <c r="G93" s="87"/>
      <c r="H93" s="88"/>
      <c r="I93" s="89"/>
      <c r="CM93" s="7"/>
      <c r="CN93" s="7"/>
    </row>
    <row r="94" spans="1:92" ht="17" customHeight="1" thickBot="1" x14ac:dyDescent="0.25">
      <c r="A94" s="16" t="s">
        <v>299</v>
      </c>
      <c r="B94" s="165" t="s">
        <v>212</v>
      </c>
      <c r="C94" s="127"/>
      <c r="D94" s="165" t="s">
        <v>212</v>
      </c>
      <c r="E94" s="127"/>
      <c r="F94" s="165" t="s">
        <v>212</v>
      </c>
      <c r="G94" s="87"/>
      <c r="H94" s="88"/>
      <c r="I94" s="89"/>
      <c r="CM94" s="7"/>
      <c r="CN94" s="7"/>
    </row>
    <row r="95" spans="1:92" ht="17" customHeight="1" thickBot="1" x14ac:dyDescent="0.25">
      <c r="A95" s="16" t="s">
        <v>14</v>
      </c>
      <c r="B95" s="165" t="s">
        <v>214</v>
      </c>
      <c r="C95" s="127"/>
      <c r="D95" s="165" t="s">
        <v>214</v>
      </c>
      <c r="E95" s="127"/>
      <c r="F95" s="165" t="s">
        <v>217</v>
      </c>
      <c r="G95" s="87"/>
      <c r="H95" s="88"/>
      <c r="I95" s="89"/>
      <c r="CM95" s="7"/>
      <c r="CN95" s="7"/>
    </row>
    <row r="96" spans="1:92" ht="17" customHeight="1" thickBot="1" x14ac:dyDescent="0.25">
      <c r="A96" s="16" t="s">
        <v>300</v>
      </c>
      <c r="B96" s="165" t="s">
        <v>217</v>
      </c>
      <c r="C96" s="127"/>
      <c r="D96" s="165" t="s">
        <v>212</v>
      </c>
      <c r="E96" s="127"/>
      <c r="F96" s="165" t="s">
        <v>217</v>
      </c>
      <c r="G96" s="87"/>
      <c r="H96" s="88"/>
      <c r="I96" s="89"/>
      <c r="CM96" s="7"/>
      <c r="CN96" s="7"/>
    </row>
    <row r="97" spans="1:92" ht="17" customHeight="1" thickBot="1" x14ac:dyDescent="0.25">
      <c r="A97" s="16" t="s">
        <v>301</v>
      </c>
      <c r="B97" s="165" t="s">
        <v>217</v>
      </c>
      <c r="C97" s="127"/>
      <c r="D97" s="165" t="s">
        <v>214</v>
      </c>
      <c r="E97" s="127"/>
      <c r="F97" s="165" t="s">
        <v>214</v>
      </c>
      <c r="G97" s="87"/>
      <c r="H97" s="88"/>
      <c r="I97" s="89"/>
      <c r="CM97" s="7"/>
      <c r="CN97" s="7"/>
    </row>
    <row r="98" spans="1:92" ht="16" customHeight="1" x14ac:dyDescent="0.15"/>
    <row r="99" spans="1:92" s="7" customFormat="1" ht="16" customHeight="1" x14ac:dyDescent="0.15">
      <c r="A99" s="10" t="s">
        <v>67</v>
      </c>
      <c r="B99" s="10"/>
      <c r="C99" s="10"/>
      <c r="D99" s="10"/>
      <c r="E99" s="10"/>
    </row>
  </sheetData>
  <mergeCells count="5">
    <mergeCell ref="A1:A3"/>
    <mergeCell ref="B1:F2"/>
    <mergeCell ref="B3:F3"/>
    <mergeCell ref="A6:F6"/>
    <mergeCell ref="A5:F5"/>
  </mergeCells>
  <phoneticPr fontId="54" type="noConversion"/>
  <pageMargins left="0.7" right="0.7" top="0.75" bottom="0.75" header="0.3" footer="0.3"/>
  <pageSetup scale="3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CN104"/>
  <sheetViews>
    <sheetView workbookViewId="0">
      <pane xSplit="1" ySplit="12" topLeftCell="B13" activePane="bottomRight" state="frozen"/>
      <selection activeCell="F137" sqref="A1:F137"/>
      <selection pane="topRight" activeCell="F137" sqref="A1:F137"/>
      <selection pane="bottomLeft" activeCell="F137" sqref="A1:F137"/>
      <selection pane="bottomRight" activeCell="H10" sqref="H10"/>
    </sheetView>
  </sheetViews>
  <sheetFormatPr baseColWidth="10" defaultColWidth="8.83203125" defaultRowHeight="14" x14ac:dyDescent="0.15"/>
  <cols>
    <col min="1" max="1" width="49.83203125" style="10" bestFit="1" customWidth="1"/>
    <col min="2" max="3" width="20.1640625" style="10" bestFit="1" customWidth="1"/>
    <col min="4" max="4" width="20.83203125" style="10" bestFit="1" customWidth="1"/>
    <col min="5" max="5" width="22" style="10" bestFit="1" customWidth="1"/>
    <col min="6" max="6" width="19.83203125" style="10" bestFit="1" customWidth="1"/>
    <col min="7" max="7" width="8.83203125" style="7"/>
    <col min="8" max="8" width="39.5" style="7" bestFit="1" customWidth="1"/>
    <col min="9" max="92" width="8.83203125" style="7"/>
    <col min="93" max="16384" width="8.83203125" style="10"/>
  </cols>
  <sheetData>
    <row r="1" spans="1:92" s="4" customFormat="1" ht="17" customHeight="1" x14ac:dyDescent="0.15">
      <c r="A1" s="143"/>
      <c r="B1" s="135" t="s">
        <v>207</v>
      </c>
      <c r="C1" s="135"/>
      <c r="D1" s="135"/>
      <c r="E1" s="135"/>
      <c r="F1" s="135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</row>
    <row r="2" spans="1:92" s="4" customFormat="1" ht="19.5" customHeight="1" x14ac:dyDescent="0.15">
      <c r="A2" s="143"/>
      <c r="B2" s="135"/>
      <c r="C2" s="135"/>
      <c r="D2" s="135"/>
      <c r="E2" s="135"/>
      <c r="F2" s="135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</row>
    <row r="3" spans="1:92" s="4" customFormat="1" ht="30.5" customHeight="1" x14ac:dyDescent="0.15">
      <c r="A3" s="143"/>
      <c r="B3" s="149" t="s">
        <v>304</v>
      </c>
      <c r="C3" s="149"/>
      <c r="D3" s="149"/>
      <c r="E3" s="149"/>
      <c r="F3" s="149"/>
      <c r="G3" s="5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</row>
    <row r="4" spans="1:92" s="6" customFormat="1" x14ac:dyDescent="0.1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</row>
    <row r="5" spans="1:92" s="9" customFormat="1" ht="30" customHeight="1" x14ac:dyDescent="0.3">
      <c r="A5" s="147" t="s">
        <v>65</v>
      </c>
      <c r="B5" s="147"/>
      <c r="C5" s="147"/>
      <c r="D5" s="147"/>
      <c r="E5" s="147"/>
      <c r="F5" s="14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"/>
      <c r="T5" s="8"/>
      <c r="U5" s="8"/>
      <c r="V5" s="8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29.75" customHeight="1" x14ac:dyDescent="0.15">
      <c r="A6" s="148" t="s">
        <v>196</v>
      </c>
      <c r="B6" s="148"/>
      <c r="C6" s="148"/>
      <c r="D6" s="148"/>
      <c r="E6" s="148"/>
      <c r="F6" s="148"/>
    </row>
    <row r="7" spans="1:92" ht="16" customHeight="1" x14ac:dyDescent="0.15">
      <c r="A7" s="11"/>
    </row>
    <row r="8" spans="1:92" ht="16" customHeight="1" x14ac:dyDescent="0.15">
      <c r="A8" s="21" t="s">
        <v>54</v>
      </c>
    </row>
    <row r="9" spans="1:92" ht="16" customHeight="1" x14ac:dyDescent="0.15">
      <c r="A9" s="58" t="s">
        <v>55</v>
      </c>
    </row>
    <row r="10" spans="1:92" ht="16" customHeight="1" x14ac:dyDescent="0.15">
      <c r="A10" s="59" t="s">
        <v>56</v>
      </c>
      <c r="B10" s="23"/>
      <c r="C10" s="23"/>
      <c r="D10" s="23"/>
      <c r="E10" s="23"/>
      <c r="F10" s="23"/>
    </row>
    <row r="11" spans="1:92" ht="16" customHeight="1" x14ac:dyDescent="0.15">
      <c r="A11" s="11"/>
    </row>
    <row r="12" spans="1:92" ht="16" customHeight="1" x14ac:dyDescent="0.15">
      <c r="A12" s="12" t="s">
        <v>0</v>
      </c>
      <c r="B12" s="13" t="s">
        <v>36</v>
      </c>
      <c r="C12" s="13" t="s">
        <v>61</v>
      </c>
      <c r="D12" s="13" t="s">
        <v>68</v>
      </c>
      <c r="E12" s="13" t="s">
        <v>62</v>
      </c>
      <c r="F12" s="13" t="s">
        <v>117</v>
      </c>
    </row>
    <row r="13" spans="1:92" ht="16" customHeight="1" thickBot="1" x14ac:dyDescent="0.2">
      <c r="A13" s="14" t="s">
        <v>103</v>
      </c>
      <c r="B13" s="170"/>
      <c r="C13" s="170"/>
      <c r="D13" s="170"/>
      <c r="E13" s="170"/>
      <c r="F13" s="170"/>
      <c r="H13" s="171"/>
    </row>
    <row r="14" spans="1:92" ht="16" customHeight="1" thickBot="1" x14ac:dyDescent="0.2">
      <c r="A14" s="16" t="s">
        <v>271</v>
      </c>
      <c r="B14" s="165" t="s">
        <v>42</v>
      </c>
      <c r="C14" s="60" t="s">
        <v>49</v>
      </c>
      <c r="D14" s="166" t="s">
        <v>40</v>
      </c>
      <c r="E14" s="165" t="s">
        <v>39</v>
      </c>
      <c r="F14" s="165" t="s">
        <v>42</v>
      </c>
      <c r="H14" s="73"/>
    </row>
    <row r="15" spans="1:92" ht="16" customHeight="1" thickBot="1" x14ac:dyDescent="0.2">
      <c r="A15" s="16" t="s">
        <v>99</v>
      </c>
      <c r="B15" s="167" t="s">
        <v>38</v>
      </c>
      <c r="C15" s="60" t="s">
        <v>38</v>
      </c>
      <c r="D15" s="166" t="s">
        <v>40</v>
      </c>
      <c r="E15" s="165" t="s">
        <v>30</v>
      </c>
      <c r="F15" s="165" t="s">
        <v>30</v>
      </c>
      <c r="H15" s="73"/>
    </row>
    <row r="16" spans="1:92" ht="16" customHeight="1" thickBot="1" x14ac:dyDescent="0.2">
      <c r="A16" s="16" t="s">
        <v>1</v>
      </c>
      <c r="B16" s="165" t="s">
        <v>39</v>
      </c>
      <c r="C16" s="60" t="s">
        <v>42</v>
      </c>
      <c r="D16" s="166" t="s">
        <v>44</v>
      </c>
      <c r="E16" s="165" t="s">
        <v>47</v>
      </c>
      <c r="F16" s="165" t="s">
        <v>30</v>
      </c>
      <c r="H16" s="73"/>
    </row>
    <row r="17" spans="1:8" ht="16" customHeight="1" thickBot="1" x14ac:dyDescent="0.2">
      <c r="A17" s="16" t="s">
        <v>2</v>
      </c>
      <c r="B17" s="165" t="s">
        <v>47</v>
      </c>
      <c r="C17" s="60" t="s">
        <v>43</v>
      </c>
      <c r="D17" s="166" t="s">
        <v>46</v>
      </c>
      <c r="E17" s="166" t="s">
        <v>46</v>
      </c>
      <c r="F17" s="165" t="s">
        <v>40</v>
      </c>
      <c r="H17" s="73"/>
    </row>
    <row r="18" spans="1:8" ht="16" customHeight="1" thickBot="1" x14ac:dyDescent="0.2">
      <c r="A18" s="16" t="s">
        <v>3</v>
      </c>
      <c r="B18" s="165" t="s">
        <v>39</v>
      </c>
      <c r="C18" s="60" t="s">
        <v>42</v>
      </c>
      <c r="D18" s="166" t="s">
        <v>44</v>
      </c>
      <c r="E18" s="165" t="s">
        <v>41</v>
      </c>
      <c r="F18" s="165" t="s">
        <v>43</v>
      </c>
      <c r="H18" s="73"/>
    </row>
    <row r="19" spans="1:8" ht="16" customHeight="1" thickBot="1" x14ac:dyDescent="0.2">
      <c r="A19" s="16" t="s">
        <v>69</v>
      </c>
      <c r="B19" s="165" t="s">
        <v>42</v>
      </c>
      <c r="C19" s="60" t="s">
        <v>42</v>
      </c>
      <c r="D19" s="166" t="s">
        <v>44</v>
      </c>
      <c r="E19" s="165" t="s">
        <v>47</v>
      </c>
      <c r="F19" s="165" t="s">
        <v>30</v>
      </c>
      <c r="H19" s="73"/>
    </row>
    <row r="20" spans="1:8" ht="16" customHeight="1" thickBot="1" x14ac:dyDescent="0.2">
      <c r="A20" s="16" t="s">
        <v>100</v>
      </c>
      <c r="B20" s="165" t="s">
        <v>43</v>
      </c>
      <c r="C20" s="60" t="s">
        <v>39</v>
      </c>
      <c r="D20" s="166" t="s">
        <v>44</v>
      </c>
      <c r="E20" s="165" t="s">
        <v>41</v>
      </c>
      <c r="F20" s="165" t="s">
        <v>43</v>
      </c>
      <c r="H20" s="73"/>
    </row>
    <row r="21" spans="1:8" ht="16" customHeight="1" thickBot="1" x14ac:dyDescent="0.2">
      <c r="A21" s="16" t="s">
        <v>98</v>
      </c>
      <c r="B21" s="165" t="s">
        <v>47</v>
      </c>
      <c r="C21" s="165" t="s">
        <v>40</v>
      </c>
      <c r="D21" s="166" t="s">
        <v>57</v>
      </c>
      <c r="E21" s="165" t="s">
        <v>46</v>
      </c>
      <c r="F21" s="60" t="s">
        <v>39</v>
      </c>
      <c r="H21" s="73"/>
    </row>
    <row r="22" spans="1:8" ht="16" customHeight="1" thickBot="1" x14ac:dyDescent="0.2">
      <c r="A22" s="16" t="s">
        <v>4</v>
      </c>
      <c r="B22" s="165" t="s">
        <v>46</v>
      </c>
      <c r="C22" s="60" t="s">
        <v>41</v>
      </c>
      <c r="D22" s="166" t="s">
        <v>57</v>
      </c>
      <c r="E22" s="165" t="s">
        <v>44</v>
      </c>
      <c r="F22" s="165" t="s">
        <v>30</v>
      </c>
      <c r="H22" s="73"/>
    </row>
    <row r="23" spans="1:8" ht="16" customHeight="1" thickBot="1" x14ac:dyDescent="0.2">
      <c r="A23" s="16" t="s">
        <v>72</v>
      </c>
      <c r="B23" s="165" t="s">
        <v>113</v>
      </c>
      <c r="C23" s="60" t="s">
        <v>113</v>
      </c>
      <c r="D23" s="60" t="s">
        <v>113</v>
      </c>
      <c r="E23" s="166" t="s">
        <v>114</v>
      </c>
      <c r="F23" s="165" t="s">
        <v>30</v>
      </c>
      <c r="H23" s="73"/>
    </row>
    <row r="24" spans="1:8" ht="16" customHeight="1" thickBot="1" x14ac:dyDescent="0.2">
      <c r="A24" s="18" t="s">
        <v>5</v>
      </c>
      <c r="B24" s="168"/>
      <c r="C24" s="168"/>
      <c r="D24" s="168"/>
      <c r="E24" s="168"/>
      <c r="F24" s="168"/>
      <c r="H24" s="171"/>
    </row>
    <row r="25" spans="1:8" ht="16" customHeight="1" thickBot="1" x14ac:dyDescent="0.2">
      <c r="A25" s="16" t="s">
        <v>303</v>
      </c>
      <c r="B25" s="165" t="s">
        <v>49</v>
      </c>
      <c r="C25" s="60" t="s">
        <v>37</v>
      </c>
      <c r="D25" s="166" t="s">
        <v>42</v>
      </c>
      <c r="E25" s="166" t="s">
        <v>42</v>
      </c>
      <c r="F25" s="165" t="s">
        <v>45</v>
      </c>
      <c r="H25" s="73"/>
    </row>
    <row r="26" spans="1:8" ht="16" customHeight="1" thickBot="1" x14ac:dyDescent="0.2">
      <c r="A26" s="16" t="s">
        <v>269</v>
      </c>
      <c r="B26" s="165" t="s">
        <v>45</v>
      </c>
      <c r="C26" s="60" t="s">
        <v>45</v>
      </c>
      <c r="D26" s="166" t="s">
        <v>39</v>
      </c>
      <c r="E26" s="165" t="s">
        <v>48</v>
      </c>
      <c r="F26" s="165" t="s">
        <v>30</v>
      </c>
      <c r="H26" s="73"/>
    </row>
    <row r="27" spans="1:8" ht="16" customHeight="1" thickBot="1" x14ac:dyDescent="0.2">
      <c r="A27" s="16" t="s">
        <v>71</v>
      </c>
      <c r="B27" s="165" t="s">
        <v>45</v>
      </c>
      <c r="C27" s="60" t="s">
        <v>37</v>
      </c>
      <c r="D27" s="166" t="s">
        <v>40</v>
      </c>
      <c r="E27" s="166" t="s">
        <v>40</v>
      </c>
      <c r="F27" s="165" t="s">
        <v>30</v>
      </c>
      <c r="H27" s="73"/>
    </row>
    <row r="28" spans="1:8" ht="16" customHeight="1" thickBot="1" x14ac:dyDescent="0.2">
      <c r="A28" s="16" t="s">
        <v>70</v>
      </c>
      <c r="B28" s="165" t="s">
        <v>45</v>
      </c>
      <c r="C28" s="60" t="s">
        <v>49</v>
      </c>
      <c r="D28" s="165" t="s">
        <v>43</v>
      </c>
      <c r="E28" s="166" t="s">
        <v>40</v>
      </c>
      <c r="F28" s="165" t="s">
        <v>30</v>
      </c>
      <c r="H28" s="73"/>
    </row>
    <row r="29" spans="1:8" ht="16" customHeight="1" thickBot="1" x14ac:dyDescent="0.2">
      <c r="A29" s="16" t="s">
        <v>92</v>
      </c>
      <c r="B29" s="165" t="s">
        <v>48</v>
      </c>
      <c r="C29" s="60" t="s">
        <v>38</v>
      </c>
      <c r="D29" s="166" t="s">
        <v>40</v>
      </c>
      <c r="E29" s="165" t="s">
        <v>43</v>
      </c>
      <c r="F29" s="165" t="s">
        <v>30</v>
      </c>
      <c r="H29" s="73"/>
    </row>
    <row r="30" spans="1:8" ht="16" customHeight="1" thickBot="1" x14ac:dyDescent="0.2">
      <c r="A30" s="16" t="s">
        <v>270</v>
      </c>
      <c r="B30" s="165" t="s">
        <v>46</v>
      </c>
      <c r="C30" s="165" t="s">
        <v>41</v>
      </c>
      <c r="D30" s="165" t="s">
        <v>44</v>
      </c>
      <c r="E30" s="165" t="s">
        <v>46</v>
      </c>
      <c r="F30" s="165" t="s">
        <v>41</v>
      </c>
      <c r="H30" s="73"/>
    </row>
    <row r="31" spans="1:8" ht="16" customHeight="1" thickBot="1" x14ac:dyDescent="0.2">
      <c r="A31" s="16" t="s">
        <v>7</v>
      </c>
      <c r="B31" s="165" t="s">
        <v>43</v>
      </c>
      <c r="C31" s="60" t="s">
        <v>43</v>
      </c>
      <c r="D31" s="166" t="s">
        <v>41</v>
      </c>
      <c r="E31" s="60" t="s">
        <v>43</v>
      </c>
      <c r="F31" s="60" t="s">
        <v>43</v>
      </c>
      <c r="H31" s="73"/>
    </row>
    <row r="32" spans="1:8" ht="16" customHeight="1" thickBot="1" x14ac:dyDescent="0.2">
      <c r="A32" s="16" t="s">
        <v>6</v>
      </c>
      <c r="B32" s="165" t="s">
        <v>43</v>
      </c>
      <c r="C32" s="60" t="s">
        <v>39</v>
      </c>
      <c r="D32" s="166" t="s">
        <v>46</v>
      </c>
      <c r="E32" s="165" t="s">
        <v>47</v>
      </c>
      <c r="F32" s="60" t="s">
        <v>39</v>
      </c>
      <c r="H32" s="73"/>
    </row>
    <row r="33" spans="1:8" ht="16" customHeight="1" thickBot="1" x14ac:dyDescent="0.2">
      <c r="A33" s="18" t="s">
        <v>8</v>
      </c>
      <c r="B33" s="168"/>
      <c r="C33" s="168"/>
      <c r="D33" s="168"/>
      <c r="E33" s="168"/>
      <c r="F33" s="168"/>
      <c r="H33" s="171"/>
    </row>
    <row r="34" spans="1:8" ht="16" customHeight="1" thickBot="1" x14ac:dyDescent="0.2">
      <c r="A34" s="16" t="s">
        <v>272</v>
      </c>
      <c r="B34" s="165" t="s">
        <v>42</v>
      </c>
      <c r="C34" s="60" t="s">
        <v>45</v>
      </c>
      <c r="D34" s="166" t="s">
        <v>42</v>
      </c>
      <c r="E34" s="165" t="s">
        <v>30</v>
      </c>
      <c r="F34" s="165" t="s">
        <v>30</v>
      </c>
      <c r="H34" s="73"/>
    </row>
    <row r="35" spans="1:8" ht="16" customHeight="1" thickBot="1" x14ac:dyDescent="0.2">
      <c r="A35" s="16" t="s">
        <v>273</v>
      </c>
      <c r="B35" s="165" t="s">
        <v>38</v>
      </c>
      <c r="C35" s="60" t="s">
        <v>45</v>
      </c>
      <c r="D35" s="165" t="s">
        <v>30</v>
      </c>
      <c r="E35" s="166" t="s">
        <v>39</v>
      </c>
      <c r="F35" s="165" t="s">
        <v>30</v>
      </c>
      <c r="H35" s="73"/>
    </row>
    <row r="36" spans="1:8" ht="16" customHeight="1" thickBot="1" x14ac:dyDescent="0.2">
      <c r="A36" s="16" t="s">
        <v>73</v>
      </c>
      <c r="B36" s="165" t="s">
        <v>42</v>
      </c>
      <c r="C36" s="60" t="s">
        <v>38</v>
      </c>
      <c r="D36" s="166" t="s">
        <v>41</v>
      </c>
      <c r="E36" s="165" t="s">
        <v>30</v>
      </c>
      <c r="F36" s="165" t="s">
        <v>30</v>
      </c>
      <c r="H36" s="73"/>
    </row>
    <row r="37" spans="1:8" ht="16" customHeight="1" thickBot="1" x14ac:dyDescent="0.2">
      <c r="A37" s="16" t="s">
        <v>274</v>
      </c>
      <c r="B37" s="165" t="s">
        <v>39</v>
      </c>
      <c r="C37" s="60" t="s">
        <v>39</v>
      </c>
      <c r="D37" s="165" t="s">
        <v>30</v>
      </c>
      <c r="E37" s="165" t="s">
        <v>30</v>
      </c>
      <c r="F37" s="165" t="s">
        <v>30</v>
      </c>
      <c r="H37" s="73"/>
    </row>
    <row r="38" spans="1:8" ht="16" customHeight="1" thickBot="1" x14ac:dyDescent="0.2">
      <c r="A38" s="16" t="s">
        <v>74</v>
      </c>
      <c r="B38" s="165" t="s">
        <v>43</v>
      </c>
      <c r="C38" s="60" t="s">
        <v>39</v>
      </c>
      <c r="D38" s="165" t="s">
        <v>30</v>
      </c>
      <c r="E38" s="165" t="s">
        <v>30</v>
      </c>
      <c r="F38" s="165" t="s">
        <v>30</v>
      </c>
      <c r="H38" s="73"/>
    </row>
    <row r="39" spans="1:8" ht="16" customHeight="1" thickBot="1" x14ac:dyDescent="0.2">
      <c r="A39" s="16" t="s">
        <v>75</v>
      </c>
      <c r="B39" s="165" t="s">
        <v>41</v>
      </c>
      <c r="C39" s="60" t="s">
        <v>47</v>
      </c>
      <c r="D39" s="166" t="s">
        <v>44</v>
      </c>
      <c r="E39" s="165" t="s">
        <v>41</v>
      </c>
      <c r="F39" s="60" t="s">
        <v>47</v>
      </c>
      <c r="H39" s="73"/>
    </row>
    <row r="40" spans="1:8" ht="16" customHeight="1" thickBot="1" x14ac:dyDescent="0.2">
      <c r="A40" s="16" t="s">
        <v>76</v>
      </c>
      <c r="B40" s="165" t="s">
        <v>40</v>
      </c>
      <c r="C40" s="60" t="s">
        <v>43</v>
      </c>
      <c r="D40" s="166" t="s">
        <v>44</v>
      </c>
      <c r="E40" s="165" t="s">
        <v>30</v>
      </c>
      <c r="F40" s="165" t="s">
        <v>30</v>
      </c>
      <c r="H40" s="73"/>
    </row>
    <row r="41" spans="1:8" ht="16" customHeight="1" thickBot="1" x14ac:dyDescent="0.2">
      <c r="A41" s="16" t="s">
        <v>77</v>
      </c>
      <c r="B41" s="165" t="s">
        <v>41</v>
      </c>
      <c r="C41" s="60" t="s">
        <v>41</v>
      </c>
      <c r="D41" s="166" t="s">
        <v>44</v>
      </c>
      <c r="E41" s="165" t="s">
        <v>30</v>
      </c>
      <c r="F41" s="165" t="s">
        <v>46</v>
      </c>
      <c r="H41" s="73"/>
    </row>
    <row r="42" spans="1:8" ht="16" customHeight="1" thickBot="1" x14ac:dyDescent="0.2">
      <c r="A42" s="18" t="s">
        <v>293</v>
      </c>
      <c r="B42" s="168"/>
      <c r="C42" s="168"/>
      <c r="D42" s="168"/>
      <c r="E42" s="168"/>
      <c r="F42" s="168"/>
      <c r="H42" s="171"/>
    </row>
    <row r="43" spans="1:8" ht="16" customHeight="1" thickBot="1" x14ac:dyDescent="0.2">
      <c r="A43" s="16" t="s">
        <v>284</v>
      </c>
      <c r="B43" s="165" t="s">
        <v>45</v>
      </c>
      <c r="C43" s="60" t="s">
        <v>37</v>
      </c>
      <c r="D43" s="165" t="s">
        <v>48</v>
      </c>
      <c r="E43" s="166" t="s">
        <v>39</v>
      </c>
      <c r="F43" s="165" t="s">
        <v>30</v>
      </c>
      <c r="H43" s="73"/>
    </row>
    <row r="44" spans="1:8" ht="16" customHeight="1" thickBot="1" x14ac:dyDescent="0.2">
      <c r="A44" s="16" t="s">
        <v>283</v>
      </c>
      <c r="B44" s="165" t="s">
        <v>45</v>
      </c>
      <c r="C44" s="60" t="s">
        <v>49</v>
      </c>
      <c r="D44" s="166" t="s">
        <v>47</v>
      </c>
      <c r="E44" s="165" t="s">
        <v>48</v>
      </c>
      <c r="F44" s="165" t="s">
        <v>30</v>
      </c>
      <c r="H44" s="73"/>
    </row>
    <row r="45" spans="1:8" ht="16" customHeight="1" thickBot="1" x14ac:dyDescent="0.2">
      <c r="A45" s="16" t="s">
        <v>285</v>
      </c>
      <c r="B45" s="165" t="s">
        <v>42</v>
      </c>
      <c r="C45" s="60" t="s">
        <v>38</v>
      </c>
      <c r="D45" s="166" t="s">
        <v>40</v>
      </c>
      <c r="E45" s="165" t="s">
        <v>39</v>
      </c>
      <c r="F45" s="165" t="s">
        <v>48</v>
      </c>
      <c r="H45" s="73"/>
    </row>
    <row r="46" spans="1:8" ht="16" customHeight="1" thickBot="1" x14ac:dyDescent="0.2">
      <c r="A46" s="16" t="s">
        <v>80</v>
      </c>
      <c r="B46" s="165" t="s">
        <v>48</v>
      </c>
      <c r="C46" s="60" t="s">
        <v>48</v>
      </c>
      <c r="D46" s="166" t="s">
        <v>41</v>
      </c>
      <c r="E46" s="165" t="s">
        <v>39</v>
      </c>
      <c r="F46" s="165" t="s">
        <v>30</v>
      </c>
      <c r="H46" s="73"/>
    </row>
    <row r="47" spans="1:8" ht="16" customHeight="1" thickBot="1" x14ac:dyDescent="0.2">
      <c r="A47" s="16" t="s">
        <v>81</v>
      </c>
      <c r="B47" s="165" t="s">
        <v>43</v>
      </c>
      <c r="C47" s="60" t="s">
        <v>43</v>
      </c>
      <c r="D47" s="166" t="s">
        <v>46</v>
      </c>
      <c r="E47" s="165" t="s">
        <v>47</v>
      </c>
      <c r="F47" s="165" t="s">
        <v>30</v>
      </c>
      <c r="H47" s="73"/>
    </row>
    <row r="48" spans="1:8" ht="16" customHeight="1" thickBot="1" x14ac:dyDescent="0.2">
      <c r="A48" s="16" t="s">
        <v>225</v>
      </c>
      <c r="B48" s="165" t="s">
        <v>40</v>
      </c>
      <c r="C48" s="165" t="s">
        <v>43</v>
      </c>
      <c r="D48" s="166" t="s">
        <v>44</v>
      </c>
      <c r="E48" s="165" t="s">
        <v>41</v>
      </c>
      <c r="F48" s="60" t="s">
        <v>39</v>
      </c>
      <c r="H48" s="73"/>
    </row>
    <row r="49" spans="1:8" ht="16" customHeight="1" thickBot="1" x14ac:dyDescent="0.2">
      <c r="A49" s="16" t="s">
        <v>226</v>
      </c>
      <c r="B49" s="165" t="s">
        <v>47</v>
      </c>
      <c r="C49" s="60" t="s">
        <v>40</v>
      </c>
      <c r="D49" s="166" t="s">
        <v>44</v>
      </c>
      <c r="E49" s="165" t="s">
        <v>46</v>
      </c>
      <c r="F49" s="60" t="s">
        <v>40</v>
      </c>
      <c r="H49" s="73"/>
    </row>
    <row r="50" spans="1:8" ht="16" customHeight="1" thickBot="1" x14ac:dyDescent="0.2">
      <c r="A50" s="16" t="s">
        <v>12</v>
      </c>
      <c r="B50" s="165" t="s">
        <v>30</v>
      </c>
      <c r="C50" s="165" t="s">
        <v>30</v>
      </c>
      <c r="D50" s="165" t="s">
        <v>30</v>
      </c>
      <c r="E50" s="165" t="s">
        <v>30</v>
      </c>
      <c r="F50" s="165" t="s">
        <v>30</v>
      </c>
      <c r="H50" s="73"/>
    </row>
    <row r="51" spans="1:8" ht="16" customHeight="1" thickBot="1" x14ac:dyDescent="0.2">
      <c r="A51" s="16" t="s">
        <v>11</v>
      </c>
      <c r="B51" s="165" t="s">
        <v>30</v>
      </c>
      <c r="C51" s="165" t="s">
        <v>30</v>
      </c>
      <c r="D51" s="165" t="s">
        <v>30</v>
      </c>
      <c r="E51" s="165" t="s">
        <v>30</v>
      </c>
      <c r="F51" s="165" t="s">
        <v>30</v>
      </c>
      <c r="H51" s="73"/>
    </row>
    <row r="52" spans="1:8" ht="16" customHeight="1" thickBot="1" x14ac:dyDescent="0.2">
      <c r="A52" s="16" t="s">
        <v>86</v>
      </c>
      <c r="B52" s="165" t="s">
        <v>30</v>
      </c>
      <c r="C52" s="165" t="s">
        <v>30</v>
      </c>
      <c r="D52" s="165" t="s">
        <v>30</v>
      </c>
      <c r="E52" s="165" t="s">
        <v>30</v>
      </c>
      <c r="F52" s="165" t="s">
        <v>30</v>
      </c>
      <c r="H52" s="73"/>
    </row>
    <row r="53" spans="1:8" ht="16" customHeight="1" thickBot="1" x14ac:dyDescent="0.2">
      <c r="A53" s="16" t="s">
        <v>87</v>
      </c>
      <c r="B53" s="165" t="s">
        <v>41</v>
      </c>
      <c r="C53" s="165" t="s">
        <v>47</v>
      </c>
      <c r="D53" s="166" t="s">
        <v>57</v>
      </c>
      <c r="E53" s="165" t="s">
        <v>41</v>
      </c>
      <c r="F53" s="60" t="s">
        <v>40</v>
      </c>
      <c r="H53" s="73"/>
    </row>
    <row r="54" spans="1:8" ht="16" customHeight="1" thickBot="1" x14ac:dyDescent="0.2">
      <c r="A54" s="16" t="s">
        <v>88</v>
      </c>
      <c r="B54" s="165" t="s">
        <v>41</v>
      </c>
      <c r="C54" s="60" t="s">
        <v>40</v>
      </c>
      <c r="D54" s="166" t="s">
        <v>44</v>
      </c>
      <c r="E54" s="165" t="s">
        <v>46</v>
      </c>
      <c r="F54" s="165" t="s">
        <v>30</v>
      </c>
      <c r="H54" s="73"/>
    </row>
    <row r="55" spans="1:8" ht="16" customHeight="1" thickBot="1" x14ac:dyDescent="0.2">
      <c r="A55" s="16" t="s">
        <v>123</v>
      </c>
      <c r="B55" s="165" t="s">
        <v>46</v>
      </c>
      <c r="C55" s="60" t="s">
        <v>41</v>
      </c>
      <c r="D55" s="165" t="s">
        <v>30</v>
      </c>
      <c r="E55" s="166" t="s">
        <v>57</v>
      </c>
      <c r="F55" s="165" t="s">
        <v>30</v>
      </c>
      <c r="H55" s="73"/>
    </row>
    <row r="56" spans="1:8" ht="16" customHeight="1" thickBot="1" x14ac:dyDescent="0.2">
      <c r="A56" s="18" t="s">
        <v>292</v>
      </c>
      <c r="B56" s="168"/>
      <c r="C56" s="168"/>
      <c r="D56" s="168"/>
      <c r="E56" s="168"/>
      <c r="F56" s="168"/>
      <c r="H56" s="171"/>
    </row>
    <row r="57" spans="1:8" ht="16" customHeight="1" thickBot="1" x14ac:dyDescent="0.2">
      <c r="A57" s="16" t="s">
        <v>78</v>
      </c>
      <c r="B57" s="165" t="s">
        <v>45</v>
      </c>
      <c r="C57" s="60" t="s">
        <v>45</v>
      </c>
      <c r="D57" s="165" t="s">
        <v>30</v>
      </c>
      <c r="E57" s="165" t="s">
        <v>30</v>
      </c>
      <c r="F57" s="165" t="s">
        <v>30</v>
      </c>
      <c r="H57" s="73"/>
    </row>
    <row r="58" spans="1:8" ht="16" customHeight="1" thickBot="1" x14ac:dyDescent="0.2">
      <c r="A58" s="16" t="s">
        <v>286</v>
      </c>
      <c r="B58" s="165" t="s">
        <v>38</v>
      </c>
      <c r="C58" s="60" t="s">
        <v>45</v>
      </c>
      <c r="D58" s="166" t="s">
        <v>39</v>
      </c>
      <c r="E58" s="166" t="s">
        <v>39</v>
      </c>
      <c r="F58" s="165" t="s">
        <v>30</v>
      </c>
      <c r="H58" s="73"/>
    </row>
    <row r="59" spans="1:8" ht="16" customHeight="1" thickBot="1" x14ac:dyDescent="0.2">
      <c r="A59" s="16" t="s">
        <v>287</v>
      </c>
      <c r="B59" s="165" t="s">
        <v>43</v>
      </c>
      <c r="C59" s="60" t="s">
        <v>42</v>
      </c>
      <c r="D59" s="166" t="s">
        <v>46</v>
      </c>
      <c r="E59" s="165" t="s">
        <v>47</v>
      </c>
      <c r="F59" s="165" t="s">
        <v>47</v>
      </c>
      <c r="H59" s="73"/>
    </row>
    <row r="60" spans="1:8" ht="16" customHeight="1" thickBot="1" x14ac:dyDescent="0.2">
      <c r="A60" s="16" t="s">
        <v>288</v>
      </c>
      <c r="B60" s="165" t="s">
        <v>40</v>
      </c>
      <c r="C60" s="60" t="s">
        <v>43</v>
      </c>
      <c r="D60" s="166" t="s">
        <v>44</v>
      </c>
      <c r="E60" s="165" t="s">
        <v>41</v>
      </c>
      <c r="F60" s="169" t="s">
        <v>30</v>
      </c>
      <c r="H60" s="73"/>
    </row>
    <row r="61" spans="1:8" ht="16" customHeight="1" thickBot="1" x14ac:dyDescent="0.2">
      <c r="A61" s="16" t="s">
        <v>289</v>
      </c>
      <c r="B61" s="165" t="s">
        <v>43</v>
      </c>
      <c r="C61" s="60" t="s">
        <v>39</v>
      </c>
      <c r="D61" s="166" t="s">
        <v>41</v>
      </c>
      <c r="E61" s="166" t="s">
        <v>41</v>
      </c>
      <c r="F61" s="165" t="s">
        <v>30</v>
      </c>
      <c r="H61" s="73"/>
    </row>
    <row r="62" spans="1:8" ht="16" customHeight="1" thickBot="1" x14ac:dyDescent="0.2">
      <c r="A62" s="16" t="s">
        <v>290</v>
      </c>
      <c r="B62" s="165" t="s">
        <v>47</v>
      </c>
      <c r="C62" s="60" t="s">
        <v>40</v>
      </c>
      <c r="D62" s="166" t="s">
        <v>44</v>
      </c>
      <c r="E62" s="165" t="s">
        <v>46</v>
      </c>
      <c r="F62" s="60" t="s">
        <v>40</v>
      </c>
      <c r="H62" s="73"/>
    </row>
    <row r="63" spans="1:8" ht="16" customHeight="1" thickBot="1" x14ac:dyDescent="0.2">
      <c r="A63" s="16" t="s">
        <v>291</v>
      </c>
      <c r="B63" s="165" t="s">
        <v>41</v>
      </c>
      <c r="C63" s="60" t="s">
        <v>43</v>
      </c>
      <c r="D63" s="166" t="s">
        <v>44</v>
      </c>
      <c r="E63" s="165" t="s">
        <v>41</v>
      </c>
      <c r="F63" s="169" t="s">
        <v>30</v>
      </c>
      <c r="H63" s="73"/>
    </row>
    <row r="64" spans="1:8" ht="16" customHeight="1" thickBot="1" x14ac:dyDescent="0.2">
      <c r="A64" s="16" t="s">
        <v>86</v>
      </c>
      <c r="B64" s="165" t="s">
        <v>41</v>
      </c>
      <c r="C64" s="60" t="s">
        <v>47</v>
      </c>
      <c r="D64" s="166" t="s">
        <v>57</v>
      </c>
      <c r="E64" s="165" t="s">
        <v>46</v>
      </c>
      <c r="F64" s="165" t="s">
        <v>30</v>
      </c>
      <c r="H64" s="73"/>
    </row>
    <row r="65" spans="1:8" ht="16" customHeight="1" thickBot="1" x14ac:dyDescent="0.2">
      <c r="A65" s="18" t="s">
        <v>105</v>
      </c>
      <c r="B65" s="168"/>
      <c r="C65" s="168"/>
      <c r="D65" s="168"/>
      <c r="E65" s="168"/>
      <c r="F65" s="168"/>
      <c r="H65" s="171"/>
    </row>
    <row r="66" spans="1:8" ht="16" customHeight="1" thickBot="1" x14ac:dyDescent="0.2">
      <c r="A66" s="16" t="s">
        <v>278</v>
      </c>
      <c r="B66" s="165" t="s">
        <v>48</v>
      </c>
      <c r="C66" s="60" t="s">
        <v>37</v>
      </c>
      <c r="D66" s="165" t="s">
        <v>30</v>
      </c>
      <c r="E66" s="165" t="s">
        <v>30</v>
      </c>
      <c r="F66" s="169" t="s">
        <v>30</v>
      </c>
      <c r="H66" s="73"/>
    </row>
    <row r="67" spans="1:8" ht="16" customHeight="1" thickBot="1" x14ac:dyDescent="0.2">
      <c r="A67" s="16" t="s">
        <v>280</v>
      </c>
      <c r="B67" s="165" t="s">
        <v>39</v>
      </c>
      <c r="C67" s="60" t="s">
        <v>42</v>
      </c>
      <c r="D67" s="166" t="s">
        <v>46</v>
      </c>
      <c r="E67" s="165" t="s">
        <v>41</v>
      </c>
      <c r="F67" s="165" t="s">
        <v>48</v>
      </c>
      <c r="H67" s="73"/>
    </row>
    <row r="68" spans="1:8" ht="16" customHeight="1" thickBot="1" x14ac:dyDescent="0.2">
      <c r="A68" s="16" t="s">
        <v>279</v>
      </c>
      <c r="B68" s="165" t="s">
        <v>40</v>
      </c>
      <c r="C68" s="60" t="s">
        <v>39</v>
      </c>
      <c r="D68" s="166" t="s">
        <v>57</v>
      </c>
      <c r="E68" s="165" t="s">
        <v>47</v>
      </c>
      <c r="F68" s="165" t="s">
        <v>40</v>
      </c>
      <c r="H68" s="73"/>
    </row>
    <row r="69" spans="1:8" ht="16" customHeight="1" thickBot="1" x14ac:dyDescent="0.2">
      <c r="A69" s="16" t="s">
        <v>13</v>
      </c>
      <c r="B69" s="165" t="s">
        <v>41</v>
      </c>
      <c r="C69" s="60" t="s">
        <v>40</v>
      </c>
      <c r="D69" s="166" t="s">
        <v>57</v>
      </c>
      <c r="E69" s="165" t="s">
        <v>46</v>
      </c>
      <c r="F69" s="165" t="s">
        <v>41</v>
      </c>
      <c r="H69" s="73"/>
    </row>
    <row r="70" spans="1:8" ht="16" customHeight="1" thickBot="1" x14ac:dyDescent="0.2">
      <c r="A70" s="18" t="s">
        <v>16</v>
      </c>
      <c r="B70" s="168"/>
      <c r="C70" s="168"/>
      <c r="D70" s="168"/>
      <c r="E70" s="168"/>
      <c r="F70" s="168"/>
      <c r="H70" s="171"/>
    </row>
    <row r="71" spans="1:8" ht="16" customHeight="1" thickBot="1" x14ac:dyDescent="0.2">
      <c r="A71" s="16" t="s">
        <v>281</v>
      </c>
      <c r="B71" s="165" t="s">
        <v>39</v>
      </c>
      <c r="C71" s="60" t="s">
        <v>48</v>
      </c>
      <c r="D71" s="166" t="s">
        <v>47</v>
      </c>
      <c r="E71" s="165" t="s">
        <v>30</v>
      </c>
      <c r="F71" s="165" t="s">
        <v>30</v>
      </c>
      <c r="H71" s="73"/>
    </row>
    <row r="72" spans="1:8" ht="16" customHeight="1" thickBot="1" x14ac:dyDescent="0.2">
      <c r="A72" s="16" t="s">
        <v>282</v>
      </c>
      <c r="B72" s="165" t="s">
        <v>43</v>
      </c>
      <c r="C72" s="60" t="s">
        <v>38</v>
      </c>
      <c r="D72" s="166" t="s">
        <v>44</v>
      </c>
      <c r="E72" s="165" t="s">
        <v>40</v>
      </c>
      <c r="F72" s="165" t="s">
        <v>39</v>
      </c>
      <c r="H72" s="73"/>
    </row>
    <row r="73" spans="1:8" ht="16" customHeight="1" thickBot="1" x14ac:dyDescent="0.2">
      <c r="A73" s="16" t="s">
        <v>97</v>
      </c>
      <c r="B73" s="165" t="s">
        <v>41</v>
      </c>
      <c r="C73" s="60" t="s">
        <v>43</v>
      </c>
      <c r="D73" s="166" t="s">
        <v>44</v>
      </c>
      <c r="E73" s="165" t="s">
        <v>46</v>
      </c>
      <c r="F73" s="165" t="s">
        <v>47</v>
      </c>
      <c r="H73" s="73"/>
    </row>
    <row r="74" spans="1:8" ht="16" customHeight="1" thickBot="1" x14ac:dyDescent="0.2">
      <c r="A74" s="16" t="s">
        <v>17</v>
      </c>
      <c r="B74" s="165" t="s">
        <v>44</v>
      </c>
      <c r="C74" s="165" t="s">
        <v>46</v>
      </c>
      <c r="D74" s="166" t="s">
        <v>57</v>
      </c>
      <c r="E74" s="165" t="s">
        <v>44</v>
      </c>
      <c r="F74" s="60" t="s">
        <v>47</v>
      </c>
      <c r="H74" s="73"/>
    </row>
    <row r="75" spans="1:8" ht="16" customHeight="1" thickBot="1" x14ac:dyDescent="0.2">
      <c r="A75" s="18" t="s">
        <v>19</v>
      </c>
      <c r="B75" s="168"/>
      <c r="C75" s="168"/>
      <c r="D75" s="168"/>
      <c r="E75" s="168"/>
      <c r="F75" s="168"/>
      <c r="H75" s="171"/>
    </row>
    <row r="76" spans="1:8" ht="16" customHeight="1" thickBot="1" x14ac:dyDescent="0.2">
      <c r="A76" s="16" t="s">
        <v>275</v>
      </c>
      <c r="B76" s="165" t="s">
        <v>48</v>
      </c>
      <c r="C76" s="60" t="s">
        <v>37</v>
      </c>
      <c r="D76" s="165" t="s">
        <v>30</v>
      </c>
      <c r="E76" s="165" t="s">
        <v>30</v>
      </c>
      <c r="F76" s="165" t="s">
        <v>30</v>
      </c>
      <c r="H76" s="73"/>
    </row>
    <row r="77" spans="1:8" ht="16" customHeight="1" thickBot="1" x14ac:dyDescent="0.2">
      <c r="A77" s="16" t="s">
        <v>277</v>
      </c>
      <c r="B77" s="165" t="s">
        <v>45</v>
      </c>
      <c r="C77" s="60" t="s">
        <v>45</v>
      </c>
      <c r="D77" s="165" t="s">
        <v>30</v>
      </c>
      <c r="E77" s="165" t="s">
        <v>30</v>
      </c>
      <c r="F77" s="165" t="s">
        <v>30</v>
      </c>
      <c r="H77" s="73"/>
    </row>
    <row r="78" spans="1:8" ht="16" customHeight="1" thickBot="1" x14ac:dyDescent="0.2">
      <c r="A78" s="16" t="s">
        <v>276</v>
      </c>
      <c r="B78" s="165" t="s">
        <v>42</v>
      </c>
      <c r="C78" s="60" t="s">
        <v>42</v>
      </c>
      <c r="D78" s="166" t="s">
        <v>46</v>
      </c>
      <c r="E78" s="165" t="s">
        <v>30</v>
      </c>
      <c r="F78" s="60" t="s">
        <v>42</v>
      </c>
      <c r="H78" s="73"/>
    </row>
    <row r="79" spans="1:8" ht="16" customHeight="1" thickBot="1" x14ac:dyDescent="0.2">
      <c r="A79" s="16" t="s">
        <v>20</v>
      </c>
      <c r="B79" s="165" t="s">
        <v>39</v>
      </c>
      <c r="C79" s="60" t="s">
        <v>48</v>
      </c>
      <c r="D79" s="166" t="s">
        <v>44</v>
      </c>
      <c r="E79" s="165" t="s">
        <v>40</v>
      </c>
      <c r="F79" s="165" t="s">
        <v>30</v>
      </c>
      <c r="H79" s="73"/>
    </row>
    <row r="80" spans="1:8" ht="15" thickBot="1" x14ac:dyDescent="0.2">
      <c r="A80" s="16" t="s">
        <v>21</v>
      </c>
      <c r="B80" s="165" t="s">
        <v>47</v>
      </c>
      <c r="C80" s="60" t="s">
        <v>43</v>
      </c>
      <c r="D80" s="166" t="s">
        <v>44</v>
      </c>
      <c r="E80" s="165" t="s">
        <v>46</v>
      </c>
      <c r="F80" s="165" t="s">
        <v>40</v>
      </c>
      <c r="H80" s="73"/>
    </row>
    <row r="81" spans="1:8" ht="15" thickBot="1" x14ac:dyDescent="0.2">
      <c r="A81" s="18" t="s">
        <v>22</v>
      </c>
      <c r="B81" s="168"/>
      <c r="C81" s="168"/>
      <c r="D81" s="168"/>
      <c r="E81" s="168"/>
      <c r="F81" s="168"/>
      <c r="H81" s="171"/>
    </row>
    <row r="82" spans="1:8" ht="15" thickBot="1" x14ac:dyDescent="0.2">
      <c r="A82" s="16" t="s">
        <v>295</v>
      </c>
      <c r="B82" s="165" t="s">
        <v>38</v>
      </c>
      <c r="C82" s="60" t="s">
        <v>49</v>
      </c>
      <c r="D82" s="165" t="s">
        <v>43</v>
      </c>
      <c r="E82" s="166" t="s">
        <v>40</v>
      </c>
      <c r="F82" s="165" t="s">
        <v>30</v>
      </c>
      <c r="H82" s="73"/>
    </row>
    <row r="83" spans="1:8" ht="15" thickBot="1" x14ac:dyDescent="0.2">
      <c r="A83" s="16" t="s">
        <v>294</v>
      </c>
      <c r="B83" s="165" t="s">
        <v>49</v>
      </c>
      <c r="C83" s="60" t="s">
        <v>49</v>
      </c>
      <c r="D83" s="166" t="s">
        <v>46</v>
      </c>
      <c r="E83" s="169" t="s">
        <v>40</v>
      </c>
      <c r="F83" s="165" t="s">
        <v>30</v>
      </c>
      <c r="H83" s="73"/>
    </row>
    <row r="84" spans="1:8" ht="15" thickBot="1" x14ac:dyDescent="0.2">
      <c r="A84" s="16" t="s">
        <v>24</v>
      </c>
      <c r="B84" s="165" t="s">
        <v>38</v>
      </c>
      <c r="C84" s="60" t="s">
        <v>45</v>
      </c>
      <c r="D84" s="166" t="s">
        <v>44</v>
      </c>
      <c r="E84" s="165" t="s">
        <v>40</v>
      </c>
      <c r="F84" s="165" t="s">
        <v>42</v>
      </c>
      <c r="H84" s="73"/>
    </row>
    <row r="85" spans="1:8" ht="15" thickBot="1" x14ac:dyDescent="0.2">
      <c r="A85" s="16" t="s">
        <v>29</v>
      </c>
      <c r="B85" s="165" t="s">
        <v>48</v>
      </c>
      <c r="C85" s="60" t="s">
        <v>42</v>
      </c>
      <c r="D85" s="166" t="s">
        <v>57</v>
      </c>
      <c r="E85" s="165" t="s">
        <v>41</v>
      </c>
      <c r="F85" s="165" t="s">
        <v>39</v>
      </c>
      <c r="H85" s="73"/>
    </row>
    <row r="86" spans="1:8" ht="15" thickBot="1" x14ac:dyDescent="0.2">
      <c r="A86" s="16" t="s">
        <v>28</v>
      </c>
      <c r="B86" s="165" t="s">
        <v>39</v>
      </c>
      <c r="C86" s="60" t="s">
        <v>48</v>
      </c>
      <c r="D86" s="166" t="s">
        <v>44</v>
      </c>
      <c r="E86" s="165" t="s">
        <v>41</v>
      </c>
      <c r="F86" s="165" t="s">
        <v>39</v>
      </c>
      <c r="H86" s="73"/>
    </row>
    <row r="87" spans="1:8" ht="15" thickBot="1" x14ac:dyDescent="0.2">
      <c r="A87" s="16" t="s">
        <v>25</v>
      </c>
      <c r="B87" s="165" t="s">
        <v>40</v>
      </c>
      <c r="C87" s="60" t="s">
        <v>43</v>
      </c>
      <c r="D87" s="166" t="s">
        <v>57</v>
      </c>
      <c r="E87" s="165" t="s">
        <v>46</v>
      </c>
      <c r="F87" s="165" t="s">
        <v>40</v>
      </c>
      <c r="H87" s="73"/>
    </row>
    <row r="88" spans="1:8" ht="15" thickBot="1" x14ac:dyDescent="0.2">
      <c r="A88" s="16" t="s">
        <v>27</v>
      </c>
      <c r="B88" s="165" t="s">
        <v>39</v>
      </c>
      <c r="C88" s="60" t="s">
        <v>39</v>
      </c>
      <c r="D88" s="166" t="s">
        <v>44</v>
      </c>
      <c r="E88" s="165" t="s">
        <v>41</v>
      </c>
      <c r="F88" s="60" t="s">
        <v>39</v>
      </c>
      <c r="H88" s="73"/>
    </row>
    <row r="89" spans="1:8" ht="15" thickBot="1" x14ac:dyDescent="0.2">
      <c r="A89" s="16" t="s">
        <v>23</v>
      </c>
      <c r="B89" s="165" t="s">
        <v>40</v>
      </c>
      <c r="C89" s="60" t="s">
        <v>43</v>
      </c>
      <c r="D89" s="166" t="s">
        <v>57</v>
      </c>
      <c r="E89" s="165" t="s">
        <v>44</v>
      </c>
      <c r="F89" s="60" t="s">
        <v>43</v>
      </c>
      <c r="H89" s="73"/>
    </row>
    <row r="90" spans="1:8" ht="15" thickBot="1" x14ac:dyDescent="0.2">
      <c r="A90" s="16" t="s">
        <v>296</v>
      </c>
      <c r="B90" s="165" t="s">
        <v>41</v>
      </c>
      <c r="C90" s="60" t="s">
        <v>47</v>
      </c>
      <c r="D90" s="166" t="s">
        <v>57</v>
      </c>
      <c r="E90" s="165" t="s">
        <v>44</v>
      </c>
      <c r="F90" s="60" t="s">
        <v>47</v>
      </c>
      <c r="H90" s="73"/>
    </row>
    <row r="91" spans="1:8" ht="15" thickBot="1" x14ac:dyDescent="0.2">
      <c r="A91" s="16" t="s">
        <v>125</v>
      </c>
      <c r="B91" s="165" t="s">
        <v>41</v>
      </c>
      <c r="C91" s="60" t="s">
        <v>43</v>
      </c>
      <c r="D91" s="166" t="s">
        <v>44</v>
      </c>
      <c r="E91" s="166" t="s">
        <v>44</v>
      </c>
      <c r="F91" s="165" t="s">
        <v>30</v>
      </c>
      <c r="H91" s="73"/>
    </row>
    <row r="92" spans="1:8" ht="15" thickBot="1" x14ac:dyDescent="0.2">
      <c r="A92" s="16" t="s">
        <v>90</v>
      </c>
      <c r="B92" s="165" t="s">
        <v>46</v>
      </c>
      <c r="C92" s="60" t="s">
        <v>38</v>
      </c>
      <c r="D92" s="166" t="s">
        <v>57</v>
      </c>
      <c r="E92" s="165" t="s">
        <v>46</v>
      </c>
      <c r="F92" s="165" t="s">
        <v>30</v>
      </c>
      <c r="H92" s="73"/>
    </row>
    <row r="93" spans="1:8" ht="15" thickBot="1" x14ac:dyDescent="0.2">
      <c r="A93" s="16" t="s">
        <v>26</v>
      </c>
      <c r="B93" s="165" t="s">
        <v>41</v>
      </c>
      <c r="C93" s="60" t="s">
        <v>40</v>
      </c>
      <c r="D93" s="165" t="s">
        <v>46</v>
      </c>
      <c r="E93" s="166" t="s">
        <v>44</v>
      </c>
      <c r="F93" s="165" t="s">
        <v>30</v>
      </c>
      <c r="H93" s="73"/>
    </row>
    <row r="94" spans="1:8" ht="15" thickBot="1" x14ac:dyDescent="0.2">
      <c r="A94" s="16" t="s">
        <v>91</v>
      </c>
      <c r="B94" s="165" t="s">
        <v>44</v>
      </c>
      <c r="C94" s="165" t="s">
        <v>41</v>
      </c>
      <c r="D94" s="166" t="s">
        <v>57</v>
      </c>
      <c r="E94" s="166" t="s">
        <v>57</v>
      </c>
      <c r="F94" s="60" t="s">
        <v>47</v>
      </c>
      <c r="H94" s="73"/>
    </row>
    <row r="95" spans="1:8" ht="15" thickBot="1" x14ac:dyDescent="0.2">
      <c r="A95" s="16" t="s">
        <v>297</v>
      </c>
      <c r="B95" s="165" t="s">
        <v>40</v>
      </c>
      <c r="C95" s="60" t="s">
        <v>39</v>
      </c>
      <c r="D95" s="166" t="s">
        <v>57</v>
      </c>
      <c r="E95" s="165" t="s">
        <v>44</v>
      </c>
      <c r="F95" s="165" t="s">
        <v>41</v>
      </c>
      <c r="H95" s="73"/>
    </row>
    <row r="96" spans="1:8" ht="15" thickBot="1" x14ac:dyDescent="0.2">
      <c r="A96" s="18" t="s">
        <v>107</v>
      </c>
      <c r="B96" s="168"/>
      <c r="C96" s="168"/>
      <c r="D96" s="168"/>
      <c r="E96" s="168"/>
      <c r="F96" s="168"/>
      <c r="H96" s="171"/>
    </row>
    <row r="97" spans="1:8" ht="15" thickBot="1" x14ac:dyDescent="0.2">
      <c r="A97" s="16" t="s">
        <v>15</v>
      </c>
      <c r="B97" s="165" t="s">
        <v>43</v>
      </c>
      <c r="C97" s="165" t="s">
        <v>30</v>
      </c>
      <c r="D97" s="60" t="s">
        <v>43</v>
      </c>
      <c r="E97" s="165" t="s">
        <v>30</v>
      </c>
      <c r="F97" s="165" t="s">
        <v>30</v>
      </c>
      <c r="H97" s="73"/>
    </row>
    <row r="98" spans="1:8" ht="15" thickBot="1" x14ac:dyDescent="0.2">
      <c r="A98" s="16" t="s">
        <v>298</v>
      </c>
      <c r="B98" s="165" t="s">
        <v>39</v>
      </c>
      <c r="C98" s="60" t="s">
        <v>42</v>
      </c>
      <c r="D98" s="166" t="s">
        <v>40</v>
      </c>
      <c r="E98" s="165" t="s">
        <v>30</v>
      </c>
      <c r="F98" s="165" t="s">
        <v>30</v>
      </c>
      <c r="H98" s="73"/>
    </row>
    <row r="99" spans="1:8" ht="15" thickBot="1" x14ac:dyDescent="0.2">
      <c r="A99" s="16" t="s">
        <v>299</v>
      </c>
      <c r="B99" s="165" t="s">
        <v>47</v>
      </c>
      <c r="C99" s="60" t="s">
        <v>47</v>
      </c>
      <c r="D99" s="165" t="s">
        <v>41</v>
      </c>
      <c r="E99" s="165" t="s">
        <v>46</v>
      </c>
      <c r="F99" s="165" t="s">
        <v>30</v>
      </c>
      <c r="H99" s="73"/>
    </row>
    <row r="100" spans="1:8" ht="15" thickBot="1" x14ac:dyDescent="0.2">
      <c r="A100" s="16" t="s">
        <v>14</v>
      </c>
      <c r="B100" s="165" t="s">
        <v>46</v>
      </c>
      <c r="C100" s="60" t="s">
        <v>47</v>
      </c>
      <c r="D100" s="166" t="s">
        <v>46</v>
      </c>
      <c r="E100" s="166" t="s">
        <v>30</v>
      </c>
      <c r="F100" s="165" t="s">
        <v>30</v>
      </c>
      <c r="H100" s="73"/>
    </row>
    <row r="101" spans="1:8" ht="15" thickBot="1" x14ac:dyDescent="0.2">
      <c r="A101" s="16" t="s">
        <v>300</v>
      </c>
      <c r="B101" s="165" t="s">
        <v>41</v>
      </c>
      <c r="C101" s="165" t="s">
        <v>43</v>
      </c>
      <c r="D101" s="166" t="s">
        <v>44</v>
      </c>
      <c r="E101" s="165" t="s">
        <v>46</v>
      </c>
      <c r="F101" s="60" t="s">
        <v>39</v>
      </c>
      <c r="H101" s="73"/>
    </row>
    <row r="102" spans="1:8" ht="15" thickBot="1" x14ac:dyDescent="0.2">
      <c r="A102" s="16" t="s">
        <v>301</v>
      </c>
      <c r="B102" s="165" t="s">
        <v>46</v>
      </c>
      <c r="C102" s="60" t="s">
        <v>46</v>
      </c>
      <c r="D102" s="166" t="s">
        <v>57</v>
      </c>
      <c r="E102" s="165" t="s">
        <v>44</v>
      </c>
      <c r="F102" s="165" t="s">
        <v>30</v>
      </c>
      <c r="H102" s="73"/>
    </row>
    <row r="104" spans="1:8" x14ac:dyDescent="0.15">
      <c r="A104" s="10" t="s">
        <v>67</v>
      </c>
    </row>
  </sheetData>
  <mergeCells count="5">
    <mergeCell ref="A1:A3"/>
    <mergeCell ref="A5:F5"/>
    <mergeCell ref="A6:F6"/>
    <mergeCell ref="B3:F3"/>
    <mergeCell ref="B1:F2"/>
  </mergeCells>
  <phoneticPr fontId="54" type="noConversion"/>
  <pageMargins left="0.7" right="0.7" top="0.75" bottom="0.75" header="0.3" footer="0.3"/>
  <pageSetup scale="4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CS101"/>
  <sheetViews>
    <sheetView workbookViewId="0">
      <pane xSplit="1" topLeftCell="B1" activePane="topRight" state="frozen"/>
      <selection activeCell="F137" sqref="A1:F137"/>
      <selection pane="topRight" activeCell="F137" sqref="A1:F137"/>
    </sheetView>
  </sheetViews>
  <sheetFormatPr baseColWidth="10" defaultColWidth="8.83203125" defaultRowHeight="14" x14ac:dyDescent="0.15"/>
  <cols>
    <col min="1" max="1" width="49.83203125" style="10" bestFit="1" customWidth="1"/>
    <col min="2" max="2" width="8.83203125" style="43" customWidth="1"/>
    <col min="3" max="5" width="20.1640625" style="10" customWidth="1"/>
    <col min="6" max="6" width="3.1640625" style="10" customWidth="1"/>
    <col min="7" max="7" width="9" style="43" customWidth="1"/>
    <col min="8" max="10" width="20.1640625" style="10" customWidth="1"/>
    <col min="11" max="11" width="3.1640625" style="10" customWidth="1"/>
    <col min="12" max="12" width="8.83203125" style="43" customWidth="1"/>
    <col min="13" max="15" width="20.1640625" style="10" customWidth="1"/>
    <col min="16" max="16" width="3.1640625" style="10" customWidth="1"/>
    <col min="17" max="17" width="8.83203125" style="43" customWidth="1"/>
    <col min="18" max="19" width="19.1640625" style="10" customWidth="1"/>
    <col min="20" max="20" width="20.1640625" style="10" customWidth="1"/>
    <col min="21" max="21" width="3.1640625" style="10" customWidth="1"/>
    <col min="22" max="22" width="8.83203125" style="43" customWidth="1"/>
    <col min="23" max="23" width="20.1640625" style="10" customWidth="1"/>
    <col min="24" max="25" width="16.33203125" style="10" customWidth="1"/>
    <col min="26" max="26" width="8.83203125" style="10" customWidth="1"/>
    <col min="27" max="27" width="40.5" style="10" hidden="1" customWidth="1"/>
    <col min="28" max="32" width="16.33203125" style="10" hidden="1" customWidth="1"/>
    <col min="33" max="16384" width="8.83203125" style="10"/>
  </cols>
  <sheetData>
    <row r="1" spans="1:97" s="4" customFormat="1" ht="17" customHeight="1" x14ac:dyDescent="0.15">
      <c r="A1" s="143"/>
      <c r="B1" s="135" t="s">
        <v>207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</row>
    <row r="2" spans="1:97" s="4" customFormat="1" ht="19.5" customHeight="1" x14ac:dyDescent="0.15">
      <c r="A2" s="143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</row>
    <row r="3" spans="1:97" s="4" customFormat="1" ht="30.5" customHeight="1" x14ac:dyDescent="0.15">
      <c r="A3" s="143"/>
      <c r="B3" s="153" t="s">
        <v>304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:97" ht="14" customHeight="1" x14ac:dyDescent="0.1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</row>
    <row r="5" spans="1:97" s="9" customFormat="1" ht="30" customHeight="1" x14ac:dyDescent="0.15">
      <c r="A5" s="151" t="s">
        <v>208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AK5" s="25"/>
      <c r="AL5" s="25"/>
      <c r="AM5" s="25"/>
      <c r="AN5" s="25"/>
    </row>
    <row r="6" spans="1:97" ht="29" customHeight="1" x14ac:dyDescent="0.15">
      <c r="A6" s="148" t="s">
        <v>196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</row>
    <row r="7" spans="1:97" ht="16" customHeight="1" x14ac:dyDescent="0.15">
      <c r="A7" s="11"/>
      <c r="B7" s="26"/>
      <c r="G7" s="26"/>
      <c r="L7" s="26"/>
      <c r="Q7" s="26"/>
      <c r="V7" s="26"/>
    </row>
    <row r="8" spans="1:97" ht="16" customHeight="1" x14ac:dyDescent="0.15">
      <c r="A8" s="11"/>
      <c r="B8" s="26"/>
      <c r="C8" s="132"/>
      <c r="G8" s="10"/>
      <c r="L8" s="26"/>
      <c r="Q8" s="26"/>
      <c r="V8" s="26"/>
    </row>
    <row r="9" spans="1:97" ht="16" customHeight="1" x14ac:dyDescent="0.15">
      <c r="A9" s="27" t="s">
        <v>54</v>
      </c>
      <c r="B9" s="26"/>
      <c r="C9" s="133"/>
      <c r="G9" s="10"/>
      <c r="L9" s="26"/>
      <c r="Q9" s="26"/>
      <c r="V9" s="26"/>
    </row>
    <row r="10" spans="1:97" ht="16" customHeight="1" x14ac:dyDescent="0.15">
      <c r="A10" s="22" t="s">
        <v>58</v>
      </c>
      <c r="B10" s="26"/>
      <c r="C10" s="134"/>
      <c r="G10" s="10"/>
      <c r="L10" s="26"/>
      <c r="Q10" s="26"/>
      <c r="V10" s="26"/>
    </row>
    <row r="11" spans="1:97" ht="16" customHeight="1" x14ac:dyDescent="0.15">
      <c r="A11" s="28" t="s">
        <v>59</v>
      </c>
      <c r="B11" s="26"/>
      <c r="G11" s="26"/>
      <c r="L11" s="26"/>
      <c r="Q11" s="26"/>
      <c r="V11" s="26"/>
    </row>
    <row r="12" spans="1:97" ht="16" customHeight="1" x14ac:dyDescent="0.15">
      <c r="A12" s="93" t="s">
        <v>60</v>
      </c>
      <c r="B12" s="26"/>
      <c r="G12" s="26"/>
      <c r="L12" s="26"/>
      <c r="Q12" s="26"/>
      <c r="V12" s="26"/>
    </row>
    <row r="13" spans="1:97" ht="16" customHeight="1" thickBot="1" x14ac:dyDescent="0.2">
      <c r="A13" s="11"/>
      <c r="B13" s="26"/>
      <c r="G13" s="26"/>
      <c r="L13" s="26"/>
      <c r="Q13" s="26"/>
      <c r="V13" s="26"/>
    </row>
    <row r="14" spans="1:97" ht="16" customHeight="1" thickBot="1" x14ac:dyDescent="0.2">
      <c r="A14" s="29" t="s">
        <v>109</v>
      </c>
      <c r="B14" s="154" t="s">
        <v>36</v>
      </c>
      <c r="C14" s="154"/>
      <c r="D14" s="154"/>
      <c r="E14" s="154"/>
      <c r="F14" s="57"/>
      <c r="G14" s="150" t="s">
        <v>61</v>
      </c>
      <c r="H14" s="150"/>
      <c r="I14" s="150"/>
      <c r="J14" s="150"/>
      <c r="K14" s="57"/>
      <c r="L14" s="150" t="s">
        <v>68</v>
      </c>
      <c r="M14" s="150"/>
      <c r="N14" s="150"/>
      <c r="O14" s="150"/>
      <c r="P14" s="57"/>
      <c r="Q14" s="150" t="s">
        <v>62</v>
      </c>
      <c r="R14" s="150"/>
      <c r="S14" s="150"/>
      <c r="T14" s="150"/>
      <c r="U14" s="57"/>
      <c r="V14" s="150" t="s">
        <v>117</v>
      </c>
      <c r="W14" s="150"/>
      <c r="X14" s="150"/>
      <c r="Y14" s="150"/>
      <c r="AA14" s="12" t="s">
        <v>0</v>
      </c>
      <c r="AB14" s="126" t="s">
        <v>36</v>
      </c>
      <c r="AC14" s="126" t="s">
        <v>61</v>
      </c>
      <c r="AD14" s="126" t="s">
        <v>68</v>
      </c>
      <c r="AE14" s="126" t="s">
        <v>62</v>
      </c>
      <c r="AF14" s="126" t="s">
        <v>117</v>
      </c>
    </row>
    <row r="15" spans="1:97" ht="16" customHeight="1" thickBot="1" x14ac:dyDescent="0.2">
      <c r="A15" s="30" t="s">
        <v>110</v>
      </c>
      <c r="B15" s="31" t="s">
        <v>50</v>
      </c>
      <c r="C15" s="31">
        <v>2016</v>
      </c>
      <c r="D15" s="31">
        <v>2015</v>
      </c>
      <c r="E15" s="31">
        <v>2014</v>
      </c>
      <c r="F15" s="32"/>
      <c r="G15" s="31" t="s">
        <v>50</v>
      </c>
      <c r="H15" s="31">
        <v>2016</v>
      </c>
      <c r="I15" s="31">
        <v>2015</v>
      </c>
      <c r="J15" s="31">
        <v>2014</v>
      </c>
      <c r="K15" s="32"/>
      <c r="L15" s="31" t="s">
        <v>50</v>
      </c>
      <c r="M15" s="31">
        <v>2016</v>
      </c>
      <c r="N15" s="31">
        <v>2015</v>
      </c>
      <c r="O15" s="31">
        <v>2014</v>
      </c>
      <c r="P15" s="32"/>
      <c r="Q15" s="31" t="s">
        <v>50</v>
      </c>
      <c r="R15" s="31">
        <v>2016</v>
      </c>
      <c r="S15" s="31">
        <v>2015</v>
      </c>
      <c r="T15" s="31">
        <v>2014</v>
      </c>
      <c r="U15" s="32"/>
      <c r="V15" s="31" t="s">
        <v>50</v>
      </c>
      <c r="W15" s="31">
        <v>2016</v>
      </c>
      <c r="X15" s="31">
        <v>2015</v>
      </c>
      <c r="Y15" s="31">
        <v>2014</v>
      </c>
      <c r="AA15" s="14" t="s">
        <v>103</v>
      </c>
      <c r="AB15" s="15"/>
      <c r="AC15" s="15"/>
      <c r="AD15" s="15"/>
      <c r="AE15" s="15"/>
      <c r="AF15" s="15"/>
    </row>
    <row r="16" spans="1:97" ht="16" customHeight="1" thickBot="1" x14ac:dyDescent="0.2">
      <c r="A16" s="16" t="s">
        <v>1</v>
      </c>
      <c r="B16" s="37" t="s">
        <v>53</v>
      </c>
      <c r="C16" s="17" t="str">
        <f>'Median By Region'!B16</f>
        <v>$91,000 - $100,000</v>
      </c>
      <c r="D16" s="17" t="s">
        <v>48</v>
      </c>
      <c r="E16" s="17" t="s">
        <v>48</v>
      </c>
      <c r="F16" s="36"/>
      <c r="G16" s="122" t="s">
        <v>52</v>
      </c>
      <c r="H16" s="17" t="s">
        <v>42</v>
      </c>
      <c r="I16" s="35" t="s">
        <v>42</v>
      </c>
      <c r="J16" s="35" t="s">
        <v>48</v>
      </c>
      <c r="K16" s="36"/>
      <c r="L16" s="37" t="s">
        <v>53</v>
      </c>
      <c r="M16" s="17" t="s">
        <v>44</v>
      </c>
      <c r="N16" s="35" t="s">
        <v>46</v>
      </c>
      <c r="O16" s="35" t="s">
        <v>43</v>
      </c>
      <c r="P16" s="36"/>
      <c r="Q16" s="37" t="s">
        <v>53</v>
      </c>
      <c r="R16" s="17" t="s">
        <v>47</v>
      </c>
      <c r="S16" s="17" t="s">
        <v>40</v>
      </c>
      <c r="T16" s="35" t="s">
        <v>39</v>
      </c>
      <c r="U16" s="36"/>
      <c r="V16" s="122" t="s">
        <v>52</v>
      </c>
      <c r="W16" s="17" t="s">
        <v>30</v>
      </c>
      <c r="X16" s="35" t="s">
        <v>39</v>
      </c>
      <c r="Y16" s="35" t="s">
        <v>48</v>
      </c>
      <c r="AA16" s="16" t="s">
        <v>1</v>
      </c>
      <c r="AB16" s="119" t="s">
        <v>39</v>
      </c>
      <c r="AC16" s="123" t="s">
        <v>42</v>
      </c>
      <c r="AD16" s="125" t="s">
        <v>44</v>
      </c>
      <c r="AE16" s="124" t="s">
        <v>47</v>
      </c>
      <c r="AF16" s="124" t="s">
        <v>30</v>
      </c>
    </row>
    <row r="17" spans="1:32" ht="16" customHeight="1" thickBot="1" x14ac:dyDescent="0.2">
      <c r="A17" s="16" t="s">
        <v>2</v>
      </c>
      <c r="B17" s="122" t="s">
        <v>52</v>
      </c>
      <c r="C17" s="17" t="str">
        <f>'Median By Region'!B17</f>
        <v>$61,000 - $70,000</v>
      </c>
      <c r="D17" s="17" t="s">
        <v>47</v>
      </c>
      <c r="E17" s="17" t="s">
        <v>40</v>
      </c>
      <c r="F17" s="36"/>
      <c r="G17" s="34" t="s">
        <v>51</v>
      </c>
      <c r="H17" s="17" t="s">
        <v>43</v>
      </c>
      <c r="I17" s="35" t="s">
        <v>40</v>
      </c>
      <c r="J17" s="35" t="s">
        <v>43</v>
      </c>
      <c r="K17" s="36"/>
      <c r="L17" s="34" t="s">
        <v>51</v>
      </c>
      <c r="M17" s="17" t="s">
        <v>46</v>
      </c>
      <c r="N17" s="35" t="s">
        <v>44</v>
      </c>
      <c r="O17" s="35" t="s">
        <v>41</v>
      </c>
      <c r="P17" s="36"/>
      <c r="Q17" s="122" t="s">
        <v>52</v>
      </c>
      <c r="R17" s="17" t="s">
        <v>46</v>
      </c>
      <c r="S17" s="17" t="s">
        <v>46</v>
      </c>
      <c r="T17" s="35" t="s">
        <v>41</v>
      </c>
      <c r="U17" s="36"/>
      <c r="V17" s="122" t="s">
        <v>52</v>
      </c>
      <c r="W17" s="17" t="s">
        <v>40</v>
      </c>
      <c r="X17" s="35" t="s">
        <v>40</v>
      </c>
      <c r="Y17" s="35" t="s">
        <v>47</v>
      </c>
      <c r="AA17" s="16" t="s">
        <v>2</v>
      </c>
      <c r="AB17" s="119" t="s">
        <v>47</v>
      </c>
      <c r="AC17" s="123" t="s">
        <v>43</v>
      </c>
      <c r="AD17" s="125" t="s">
        <v>46</v>
      </c>
      <c r="AE17" s="124" t="s">
        <v>46</v>
      </c>
      <c r="AF17" s="124" t="s">
        <v>40</v>
      </c>
    </row>
    <row r="18" spans="1:32" ht="16" customHeight="1" thickBot="1" x14ac:dyDescent="0.2">
      <c r="A18" s="108" t="s">
        <v>98</v>
      </c>
      <c r="B18" s="122" t="s">
        <v>52</v>
      </c>
      <c r="C18" s="17" t="s">
        <v>47</v>
      </c>
      <c r="D18" s="17" t="s">
        <v>47</v>
      </c>
      <c r="E18" s="17" t="s">
        <v>47</v>
      </c>
      <c r="F18" s="36"/>
      <c r="G18" s="122" t="s">
        <v>52</v>
      </c>
      <c r="H18" s="17" t="s">
        <v>40</v>
      </c>
      <c r="I18" s="35" t="s">
        <v>40</v>
      </c>
      <c r="J18" s="35" t="s">
        <v>40</v>
      </c>
      <c r="K18" s="36"/>
      <c r="L18" s="37" t="s">
        <v>53</v>
      </c>
      <c r="M18" s="17" t="s">
        <v>57</v>
      </c>
      <c r="N18" s="35" t="s">
        <v>44</v>
      </c>
      <c r="O18" s="35" t="s">
        <v>46</v>
      </c>
      <c r="P18" s="36"/>
      <c r="Q18" s="37" t="s">
        <v>53</v>
      </c>
      <c r="R18" s="17" t="s">
        <v>46</v>
      </c>
      <c r="S18" s="17" t="s">
        <v>41</v>
      </c>
      <c r="T18" s="17" t="s">
        <v>41</v>
      </c>
      <c r="U18" s="36"/>
      <c r="V18" s="34" t="s">
        <v>51</v>
      </c>
      <c r="W18" s="17" t="s">
        <v>39</v>
      </c>
      <c r="X18" s="17" t="s">
        <v>47</v>
      </c>
      <c r="Y18" s="17" t="s">
        <v>47</v>
      </c>
      <c r="AA18" s="16" t="s">
        <v>98</v>
      </c>
      <c r="AB18" s="119" t="s">
        <v>47</v>
      </c>
      <c r="AC18" s="123" t="s">
        <v>40</v>
      </c>
      <c r="AD18" s="125" t="s">
        <v>57</v>
      </c>
      <c r="AE18" s="124" t="s">
        <v>46</v>
      </c>
      <c r="AF18" s="124" t="s">
        <v>39</v>
      </c>
    </row>
    <row r="19" spans="1:32" ht="16" customHeight="1" thickBot="1" x14ac:dyDescent="0.2">
      <c r="A19" s="109" t="s">
        <v>4</v>
      </c>
      <c r="B19" s="122" t="s">
        <v>52</v>
      </c>
      <c r="C19" s="17" t="str">
        <f>'Median By Region'!B22</f>
        <v>$41,000 - $50,000</v>
      </c>
      <c r="D19" s="17" t="s">
        <v>46</v>
      </c>
      <c r="E19" s="17" t="s">
        <v>46</v>
      </c>
      <c r="F19" s="36"/>
      <c r="G19" s="34" t="s">
        <v>51</v>
      </c>
      <c r="H19" s="17" t="s">
        <v>41</v>
      </c>
      <c r="I19" s="35" t="s">
        <v>46</v>
      </c>
      <c r="J19" s="35" t="s">
        <v>41</v>
      </c>
      <c r="K19" s="36"/>
      <c r="L19" s="37" t="s">
        <v>53</v>
      </c>
      <c r="M19" s="17" t="s">
        <v>57</v>
      </c>
      <c r="N19" s="35" t="s">
        <v>44</v>
      </c>
      <c r="O19" s="35" t="s">
        <v>44</v>
      </c>
      <c r="P19" s="36"/>
      <c r="Q19" s="37" t="s">
        <v>53</v>
      </c>
      <c r="R19" s="17" t="s">
        <v>44</v>
      </c>
      <c r="S19" s="17" t="s">
        <v>46</v>
      </c>
      <c r="T19" s="17" t="s">
        <v>44</v>
      </c>
      <c r="U19" s="36"/>
      <c r="V19" s="122" t="s">
        <v>52</v>
      </c>
      <c r="W19" s="17" t="s">
        <v>30</v>
      </c>
      <c r="X19" s="35" t="s">
        <v>46</v>
      </c>
      <c r="Y19" s="35" t="s">
        <v>41</v>
      </c>
      <c r="AA19" s="16" t="s">
        <v>4</v>
      </c>
      <c r="AB19" s="119" t="s">
        <v>46</v>
      </c>
      <c r="AC19" s="123" t="s">
        <v>41</v>
      </c>
      <c r="AD19" s="125" t="s">
        <v>57</v>
      </c>
      <c r="AE19" s="124" t="s">
        <v>44</v>
      </c>
      <c r="AF19" s="124" t="s">
        <v>30</v>
      </c>
    </row>
    <row r="20" spans="1:32" ht="16" customHeight="1" thickBot="1" x14ac:dyDescent="0.2">
      <c r="A20" s="30" t="s">
        <v>5</v>
      </c>
      <c r="B20" s="38"/>
      <c r="C20" s="39"/>
      <c r="D20" s="39"/>
      <c r="E20" s="39"/>
      <c r="F20" s="36"/>
      <c r="G20" s="39"/>
      <c r="H20" s="39"/>
      <c r="I20" s="39"/>
      <c r="J20" s="39"/>
      <c r="K20" s="36"/>
      <c r="L20" s="38"/>
      <c r="M20" s="39"/>
      <c r="N20" s="39"/>
      <c r="O20" s="39"/>
      <c r="P20" s="36"/>
      <c r="Q20" s="38"/>
      <c r="R20" s="39"/>
      <c r="S20" s="39"/>
      <c r="T20" s="39"/>
      <c r="U20" s="36"/>
      <c r="V20" s="38"/>
      <c r="W20" s="39"/>
      <c r="X20" s="39"/>
      <c r="Y20" s="39"/>
      <c r="AA20" s="18" t="s">
        <v>5</v>
      </c>
      <c r="AB20" s="19"/>
      <c r="AC20" s="19"/>
      <c r="AD20" s="19"/>
      <c r="AE20" s="19"/>
      <c r="AF20" s="19"/>
    </row>
    <row r="21" spans="1:32" ht="16" customHeight="1" thickBot="1" x14ac:dyDescent="0.2">
      <c r="A21" s="33" t="s">
        <v>106</v>
      </c>
      <c r="B21" s="37" t="s">
        <v>53</v>
      </c>
      <c r="C21" s="17" t="str">
        <f>'Median By Region'!B25</f>
        <v>$176,000 - $200,000</v>
      </c>
      <c r="D21" s="17" t="s">
        <v>37</v>
      </c>
      <c r="E21" s="17" t="s">
        <v>49</v>
      </c>
      <c r="F21" s="36"/>
      <c r="G21" s="122" t="s">
        <v>52</v>
      </c>
      <c r="H21" s="17" t="s">
        <v>37</v>
      </c>
      <c r="I21" s="35" t="s">
        <v>37</v>
      </c>
      <c r="J21" s="35" t="s">
        <v>37</v>
      </c>
      <c r="K21" s="36"/>
      <c r="L21" s="122" t="s">
        <v>52</v>
      </c>
      <c r="M21" s="17" t="s">
        <v>48</v>
      </c>
      <c r="N21" s="35" t="s">
        <v>48</v>
      </c>
      <c r="O21" s="35" t="s">
        <v>38</v>
      </c>
      <c r="P21" s="36"/>
      <c r="Q21" s="37" t="s">
        <v>53</v>
      </c>
      <c r="R21" s="17" t="s">
        <v>42</v>
      </c>
      <c r="S21" s="17" t="s">
        <v>49</v>
      </c>
      <c r="T21" s="17" t="s">
        <v>66</v>
      </c>
      <c r="U21" s="36"/>
      <c r="V21" s="34" t="s">
        <v>51</v>
      </c>
      <c r="W21" s="17" t="s">
        <v>45</v>
      </c>
      <c r="X21" s="35" t="s">
        <v>38</v>
      </c>
      <c r="Y21" s="35" t="s">
        <v>45</v>
      </c>
      <c r="AA21" s="16" t="s">
        <v>106</v>
      </c>
      <c r="AB21" s="119" t="s">
        <v>49</v>
      </c>
      <c r="AC21" s="120" t="s">
        <v>37</v>
      </c>
      <c r="AD21" s="121" t="s">
        <v>48</v>
      </c>
      <c r="AE21" s="119" t="s">
        <v>42</v>
      </c>
      <c r="AF21" s="119" t="s">
        <v>45</v>
      </c>
    </row>
    <row r="22" spans="1:32" ht="16" customHeight="1" thickBot="1" x14ac:dyDescent="0.2">
      <c r="A22" s="33" t="s">
        <v>96</v>
      </c>
      <c r="B22" s="122" t="s">
        <v>52</v>
      </c>
      <c r="C22" s="17" t="str">
        <f>'Median By Region'!B28</f>
        <v>$151,000 - $175,000</v>
      </c>
      <c r="D22" s="17" t="s">
        <v>43</v>
      </c>
      <c r="E22" s="17" t="s">
        <v>39</v>
      </c>
      <c r="F22" s="36"/>
      <c r="G22" s="122" t="s">
        <v>52</v>
      </c>
      <c r="H22" s="17" t="s">
        <v>39</v>
      </c>
      <c r="I22" s="35" t="s">
        <v>39</v>
      </c>
      <c r="J22" s="35" t="s">
        <v>48</v>
      </c>
      <c r="K22" s="36"/>
      <c r="L22" s="122" t="s">
        <v>52</v>
      </c>
      <c r="M22" s="17" t="s">
        <v>46</v>
      </c>
      <c r="N22" s="17" t="s">
        <v>46</v>
      </c>
      <c r="O22" s="17" t="s">
        <v>30</v>
      </c>
      <c r="P22" s="36"/>
      <c r="Q22" s="122" t="s">
        <v>52</v>
      </c>
      <c r="R22" s="17" t="s">
        <v>47</v>
      </c>
      <c r="S22" s="17" t="s">
        <v>47</v>
      </c>
      <c r="T22" s="17" t="s">
        <v>47</v>
      </c>
      <c r="U22" s="36"/>
      <c r="V22" s="122" t="s">
        <v>52</v>
      </c>
      <c r="W22" s="17" t="s">
        <v>39</v>
      </c>
      <c r="X22" s="17" t="s">
        <v>39</v>
      </c>
      <c r="Y22" s="17" t="s">
        <v>39</v>
      </c>
      <c r="AA22" s="16" t="s">
        <v>6</v>
      </c>
      <c r="AB22" s="119" t="s">
        <v>43</v>
      </c>
      <c r="AC22" s="120" t="s">
        <v>39</v>
      </c>
      <c r="AD22" s="121" t="s">
        <v>46</v>
      </c>
      <c r="AE22" s="119" t="s">
        <v>47</v>
      </c>
      <c r="AF22" s="120" t="s">
        <v>39</v>
      </c>
    </row>
    <row r="23" spans="1:32" ht="16" customHeight="1" thickBot="1" x14ac:dyDescent="0.2">
      <c r="A23" s="33" t="s">
        <v>7</v>
      </c>
      <c r="B23" s="122" t="s">
        <v>52</v>
      </c>
      <c r="C23" s="17" t="str">
        <f>'Median By Region'!B30</f>
        <v>$41,000 - $50,000</v>
      </c>
      <c r="D23" s="17" t="s">
        <v>43</v>
      </c>
      <c r="E23" s="17" t="s">
        <v>39</v>
      </c>
      <c r="F23" s="36"/>
      <c r="G23" s="122" t="s">
        <v>52</v>
      </c>
      <c r="H23" s="17" t="s">
        <v>43</v>
      </c>
      <c r="I23" s="35" t="s">
        <v>43</v>
      </c>
      <c r="J23" s="35" t="s">
        <v>48</v>
      </c>
      <c r="K23" s="36"/>
      <c r="L23" s="34" t="s">
        <v>51</v>
      </c>
      <c r="M23" s="17" t="s">
        <v>41</v>
      </c>
      <c r="N23" s="17" t="s">
        <v>46</v>
      </c>
      <c r="O23" s="17" t="s">
        <v>47</v>
      </c>
      <c r="P23" s="36"/>
      <c r="Q23" s="122" t="s">
        <v>52</v>
      </c>
      <c r="R23" s="17" t="s">
        <v>43</v>
      </c>
      <c r="S23" s="17" t="s">
        <v>30</v>
      </c>
      <c r="T23" s="35" t="s">
        <v>40</v>
      </c>
      <c r="U23" s="36"/>
      <c r="V23" s="34" t="s">
        <v>51</v>
      </c>
      <c r="W23" s="17" t="s">
        <v>43</v>
      </c>
      <c r="X23" s="35" t="s">
        <v>47</v>
      </c>
      <c r="Y23" s="35" t="s">
        <v>40</v>
      </c>
      <c r="AA23" s="16" t="s">
        <v>7</v>
      </c>
      <c r="AB23" s="119" t="s">
        <v>43</v>
      </c>
      <c r="AC23" s="120" t="s">
        <v>43</v>
      </c>
      <c r="AD23" s="121" t="s">
        <v>41</v>
      </c>
      <c r="AE23" s="119" t="s">
        <v>43</v>
      </c>
      <c r="AF23" s="119" t="s">
        <v>43</v>
      </c>
    </row>
    <row r="24" spans="1:32" ht="16" customHeight="1" thickBot="1" x14ac:dyDescent="0.2">
      <c r="A24" s="30" t="s">
        <v>8</v>
      </c>
      <c r="B24" s="38"/>
      <c r="C24" s="39"/>
      <c r="D24" s="39"/>
      <c r="E24" s="39"/>
      <c r="F24" s="36"/>
      <c r="G24" s="39"/>
      <c r="H24" s="39"/>
      <c r="I24" s="39"/>
      <c r="J24" s="39"/>
      <c r="K24" s="36"/>
      <c r="L24" s="38"/>
      <c r="M24" s="39"/>
      <c r="N24" s="39"/>
      <c r="O24" s="39"/>
      <c r="P24" s="36"/>
      <c r="Q24" s="38"/>
      <c r="R24" s="39"/>
      <c r="S24" s="39"/>
      <c r="T24" s="39"/>
      <c r="U24" s="36"/>
      <c r="V24" s="38"/>
      <c r="W24" s="39"/>
      <c r="X24" s="39"/>
      <c r="Y24" s="39"/>
      <c r="AA24" s="18" t="s">
        <v>8</v>
      </c>
      <c r="AB24" s="19"/>
      <c r="AC24" s="19"/>
      <c r="AD24" s="19"/>
      <c r="AE24" s="19"/>
      <c r="AF24" s="19"/>
    </row>
    <row r="25" spans="1:32" ht="16" customHeight="1" thickBot="1" x14ac:dyDescent="0.2">
      <c r="A25" s="16" t="s">
        <v>74</v>
      </c>
      <c r="B25" s="37" t="s">
        <v>53</v>
      </c>
      <c r="C25" s="17" t="s">
        <v>43</v>
      </c>
      <c r="D25" s="17" t="s">
        <v>42</v>
      </c>
      <c r="E25" s="17" t="s">
        <v>39</v>
      </c>
      <c r="F25" s="36"/>
      <c r="G25" s="37" t="s">
        <v>53</v>
      </c>
      <c r="H25" s="17" t="s">
        <v>39</v>
      </c>
      <c r="I25" s="17" t="s">
        <v>38</v>
      </c>
      <c r="J25" s="17" t="s">
        <v>42</v>
      </c>
      <c r="K25" s="36"/>
      <c r="L25" s="122" t="s">
        <v>52</v>
      </c>
      <c r="M25" s="17" t="s">
        <v>30</v>
      </c>
      <c r="N25" s="35" t="s">
        <v>44</v>
      </c>
      <c r="O25" s="35" t="s">
        <v>46</v>
      </c>
      <c r="P25" s="36"/>
      <c r="Q25" s="122" t="s">
        <v>52</v>
      </c>
      <c r="R25" s="17" t="s">
        <v>30</v>
      </c>
      <c r="S25" s="17" t="s">
        <v>30</v>
      </c>
      <c r="T25" s="17" t="s">
        <v>40</v>
      </c>
      <c r="U25" s="36"/>
      <c r="V25" s="122" t="s">
        <v>52</v>
      </c>
      <c r="W25" s="17" t="s">
        <v>30</v>
      </c>
      <c r="X25" s="17" t="s">
        <v>40</v>
      </c>
      <c r="Y25" s="17" t="s">
        <v>38</v>
      </c>
      <c r="AA25" s="16" t="s">
        <v>74</v>
      </c>
      <c r="AB25" s="119" t="s">
        <v>43</v>
      </c>
      <c r="AC25" s="120" t="s">
        <v>39</v>
      </c>
      <c r="AD25" s="121" t="s">
        <v>30</v>
      </c>
      <c r="AE25" s="119" t="s">
        <v>30</v>
      </c>
      <c r="AF25" s="119" t="s">
        <v>30</v>
      </c>
    </row>
    <row r="26" spans="1:32" ht="16" customHeight="1" thickBot="1" x14ac:dyDescent="0.2">
      <c r="A26" s="16" t="s">
        <v>75</v>
      </c>
      <c r="B26" s="37" t="s">
        <v>53</v>
      </c>
      <c r="C26" s="17" t="s">
        <v>41</v>
      </c>
      <c r="D26" s="17" t="s">
        <v>47</v>
      </c>
      <c r="E26" s="17" t="s">
        <v>41</v>
      </c>
      <c r="F26" s="36"/>
      <c r="G26" s="122" t="s">
        <v>52</v>
      </c>
      <c r="H26" s="17" t="s">
        <v>47</v>
      </c>
      <c r="I26" s="17" t="s">
        <v>47</v>
      </c>
      <c r="J26" s="17" t="s">
        <v>40</v>
      </c>
      <c r="K26" s="36"/>
      <c r="L26" s="34" t="s">
        <v>51</v>
      </c>
      <c r="M26" s="17" t="s">
        <v>44</v>
      </c>
      <c r="N26" s="17" t="s">
        <v>57</v>
      </c>
      <c r="O26" s="17" t="s">
        <v>57</v>
      </c>
      <c r="P26" s="36"/>
      <c r="Q26" s="122" t="s">
        <v>52</v>
      </c>
      <c r="R26" s="17" t="s">
        <v>41</v>
      </c>
      <c r="S26" s="17" t="s">
        <v>41</v>
      </c>
      <c r="T26" s="35" t="s">
        <v>41</v>
      </c>
      <c r="U26" s="36"/>
      <c r="V26" s="34" t="s">
        <v>51</v>
      </c>
      <c r="W26" s="17" t="s">
        <v>47</v>
      </c>
      <c r="X26" s="17" t="s">
        <v>46</v>
      </c>
      <c r="Y26" s="17" t="s">
        <v>43</v>
      </c>
      <c r="AA26" s="16" t="s">
        <v>75</v>
      </c>
      <c r="AB26" s="119" t="s">
        <v>41</v>
      </c>
      <c r="AC26" s="120" t="s">
        <v>47</v>
      </c>
      <c r="AD26" s="121" t="s">
        <v>44</v>
      </c>
      <c r="AE26" s="119" t="s">
        <v>41</v>
      </c>
      <c r="AF26" s="119" t="s">
        <v>47</v>
      </c>
    </row>
    <row r="27" spans="1:32" ht="16" customHeight="1" thickBot="1" x14ac:dyDescent="0.2">
      <c r="A27" s="16" t="s">
        <v>77</v>
      </c>
      <c r="B27" s="34" t="s">
        <v>51</v>
      </c>
      <c r="C27" s="17" t="s">
        <v>41</v>
      </c>
      <c r="D27" s="17" t="s">
        <v>46</v>
      </c>
      <c r="E27" s="17" t="s">
        <v>46</v>
      </c>
      <c r="F27" s="36"/>
      <c r="G27" s="122" t="s">
        <v>52</v>
      </c>
      <c r="H27" s="17" t="s">
        <v>41</v>
      </c>
      <c r="I27" s="17" t="s">
        <v>41</v>
      </c>
      <c r="J27" s="17" t="s">
        <v>41</v>
      </c>
      <c r="K27" s="36"/>
      <c r="L27" s="34" t="s">
        <v>51</v>
      </c>
      <c r="M27" s="17" t="s">
        <v>44</v>
      </c>
      <c r="N27" s="35" t="s">
        <v>57</v>
      </c>
      <c r="O27" s="35" t="s">
        <v>57</v>
      </c>
      <c r="P27" s="36"/>
      <c r="Q27" s="122" t="s">
        <v>52</v>
      </c>
      <c r="R27" s="17" t="s">
        <v>30</v>
      </c>
      <c r="S27" s="17" t="s">
        <v>46</v>
      </c>
      <c r="T27" s="17" t="s">
        <v>46</v>
      </c>
      <c r="U27" s="36"/>
      <c r="V27" s="122" t="s">
        <v>52</v>
      </c>
      <c r="W27" s="17" t="s">
        <v>46</v>
      </c>
      <c r="X27" s="17" t="s">
        <v>30</v>
      </c>
      <c r="Y27" s="17" t="s">
        <v>47</v>
      </c>
      <c r="AA27" s="16" t="s">
        <v>77</v>
      </c>
      <c r="AB27" s="119" t="s">
        <v>41</v>
      </c>
      <c r="AC27" s="120" t="s">
        <v>41</v>
      </c>
      <c r="AD27" s="121" t="s">
        <v>44</v>
      </c>
      <c r="AE27" s="119" t="s">
        <v>30</v>
      </c>
      <c r="AF27" s="119" t="s">
        <v>46</v>
      </c>
    </row>
    <row r="28" spans="1:32" ht="16" customHeight="1" thickBot="1" x14ac:dyDescent="0.2">
      <c r="A28" s="30" t="s">
        <v>9</v>
      </c>
      <c r="B28" s="38"/>
      <c r="C28" s="39"/>
      <c r="D28" s="39"/>
      <c r="E28" s="39"/>
      <c r="F28" s="40"/>
      <c r="G28" s="39"/>
      <c r="H28" s="39"/>
      <c r="I28" s="39"/>
      <c r="J28" s="39"/>
      <c r="K28" s="40"/>
      <c r="L28" s="39"/>
      <c r="M28" s="39"/>
      <c r="N28" s="39"/>
      <c r="O28" s="39"/>
      <c r="P28" s="40"/>
      <c r="Q28" s="39"/>
      <c r="R28" s="39"/>
      <c r="S28" s="38"/>
      <c r="T28" s="38"/>
      <c r="U28" s="40"/>
      <c r="V28" s="38"/>
      <c r="W28" s="39"/>
      <c r="X28" s="39"/>
      <c r="Y28" s="39"/>
      <c r="AA28" s="18" t="s">
        <v>104</v>
      </c>
      <c r="AB28" s="19"/>
      <c r="AC28" s="19"/>
      <c r="AD28" s="19"/>
      <c r="AE28" s="19"/>
      <c r="AF28" s="19"/>
    </row>
    <row r="29" spans="1:32" ht="16" customHeight="1" thickBot="1" x14ac:dyDescent="0.2">
      <c r="A29" s="33" t="s">
        <v>111</v>
      </c>
      <c r="B29" s="37" t="s">
        <v>53</v>
      </c>
      <c r="C29" s="17" t="s">
        <v>45</v>
      </c>
      <c r="D29" s="17" t="s">
        <v>49</v>
      </c>
      <c r="E29" s="17" t="s">
        <v>49</v>
      </c>
      <c r="F29" s="36"/>
      <c r="G29" s="122" t="s">
        <v>52</v>
      </c>
      <c r="H29" s="17" t="s">
        <v>49</v>
      </c>
      <c r="I29" s="35" t="s">
        <v>37</v>
      </c>
      <c r="J29" s="35" t="s">
        <v>37</v>
      </c>
      <c r="K29" s="36"/>
      <c r="L29" s="37" t="s">
        <v>53</v>
      </c>
      <c r="M29" s="17" t="s">
        <v>47</v>
      </c>
      <c r="N29" s="17" t="s">
        <v>48</v>
      </c>
      <c r="O29" s="17" t="s">
        <v>48</v>
      </c>
      <c r="P29" s="36"/>
      <c r="Q29" s="37" t="s">
        <v>53</v>
      </c>
      <c r="R29" s="17" t="s">
        <v>48</v>
      </c>
      <c r="S29" s="17" t="s">
        <v>42</v>
      </c>
      <c r="T29" s="17" t="s">
        <v>42</v>
      </c>
      <c r="U29" s="36"/>
      <c r="V29" s="122" t="s">
        <v>52</v>
      </c>
      <c r="W29" s="17" t="s">
        <v>30</v>
      </c>
      <c r="X29" s="17" t="s">
        <v>43</v>
      </c>
      <c r="Y29" s="17" t="s">
        <v>42</v>
      </c>
      <c r="AA29" s="16" t="s">
        <v>101</v>
      </c>
      <c r="AB29" s="124" t="s">
        <v>45</v>
      </c>
      <c r="AC29" s="123" t="s">
        <v>49</v>
      </c>
      <c r="AD29" s="124" t="s">
        <v>47</v>
      </c>
      <c r="AE29" s="124" t="s">
        <v>48</v>
      </c>
      <c r="AF29" s="124" t="s">
        <v>30</v>
      </c>
    </row>
    <row r="30" spans="1:32" ht="16" customHeight="1" thickBot="1" x14ac:dyDescent="0.2">
      <c r="A30" s="33" t="s">
        <v>12</v>
      </c>
      <c r="B30" s="122"/>
      <c r="C30" s="17" t="s">
        <v>30</v>
      </c>
      <c r="D30" s="17" t="s">
        <v>47</v>
      </c>
      <c r="E30" s="17" t="s">
        <v>47</v>
      </c>
      <c r="F30" s="36"/>
      <c r="G30" s="122" t="s">
        <v>52</v>
      </c>
      <c r="H30" s="17" t="s">
        <v>30</v>
      </c>
      <c r="I30" s="35" t="s">
        <v>40</v>
      </c>
      <c r="J30" s="35" t="s">
        <v>40</v>
      </c>
      <c r="K30" s="36"/>
      <c r="L30" s="122" t="s">
        <v>52</v>
      </c>
      <c r="M30" s="17" t="s">
        <v>30</v>
      </c>
      <c r="N30" s="35" t="s">
        <v>57</v>
      </c>
      <c r="O30" s="35" t="s">
        <v>41</v>
      </c>
      <c r="P30" s="36"/>
      <c r="Q30" s="122" t="s">
        <v>52</v>
      </c>
      <c r="R30" s="17" t="s">
        <v>30</v>
      </c>
      <c r="S30" s="17" t="s">
        <v>41</v>
      </c>
      <c r="T30" s="17" t="s">
        <v>41</v>
      </c>
      <c r="U30" s="36"/>
      <c r="V30" s="122" t="s">
        <v>52</v>
      </c>
      <c r="W30" s="17" t="s">
        <v>30</v>
      </c>
      <c r="X30" s="17" t="s">
        <v>41</v>
      </c>
      <c r="Y30" s="17" t="s">
        <v>47</v>
      </c>
      <c r="AA30" s="16" t="s">
        <v>84</v>
      </c>
      <c r="AB30" s="17"/>
      <c r="AC30" s="60"/>
      <c r="AD30" s="24"/>
      <c r="AE30" s="17"/>
      <c r="AF30" s="17"/>
    </row>
    <row r="31" spans="1:32" ht="16" customHeight="1" thickBot="1" x14ac:dyDescent="0.2">
      <c r="A31" s="33" t="s">
        <v>11</v>
      </c>
      <c r="B31" s="122"/>
      <c r="C31" s="17" t="s">
        <v>30</v>
      </c>
      <c r="D31" s="17" t="s">
        <v>41</v>
      </c>
      <c r="E31" s="17" t="s">
        <v>41</v>
      </c>
      <c r="F31" s="36"/>
      <c r="G31" s="122" t="s">
        <v>52</v>
      </c>
      <c r="H31" s="17" t="s">
        <v>30</v>
      </c>
      <c r="I31" s="35" t="s">
        <v>41</v>
      </c>
      <c r="J31" s="35" t="s">
        <v>41</v>
      </c>
      <c r="K31" s="36"/>
      <c r="L31" s="122" t="s">
        <v>52</v>
      </c>
      <c r="M31" s="17" t="s">
        <v>30</v>
      </c>
      <c r="N31" s="35" t="s">
        <v>57</v>
      </c>
      <c r="O31" s="35" t="s">
        <v>44</v>
      </c>
      <c r="P31" s="36"/>
      <c r="Q31" s="122" t="s">
        <v>52</v>
      </c>
      <c r="R31" s="17" t="s">
        <v>30</v>
      </c>
      <c r="S31" s="17" t="s">
        <v>46</v>
      </c>
      <c r="T31" s="17" t="s">
        <v>46</v>
      </c>
      <c r="U31" s="36"/>
      <c r="V31" s="122" t="s">
        <v>52</v>
      </c>
      <c r="W31" s="17" t="s">
        <v>30</v>
      </c>
      <c r="X31" s="17" t="s">
        <v>41</v>
      </c>
      <c r="Y31" s="17" t="s">
        <v>41</v>
      </c>
      <c r="AA31" s="16" t="s">
        <v>85</v>
      </c>
      <c r="AB31" s="17"/>
      <c r="AC31" s="60"/>
      <c r="AD31" s="24"/>
      <c r="AE31" s="17"/>
      <c r="AF31" s="17"/>
    </row>
    <row r="32" spans="1:32" ht="16" customHeight="1" thickBot="1" x14ac:dyDescent="0.2">
      <c r="A32" s="33" t="s">
        <v>10</v>
      </c>
      <c r="B32" s="34" t="s">
        <v>51</v>
      </c>
      <c r="C32" s="17" t="s">
        <v>41</v>
      </c>
      <c r="D32" s="17" t="s">
        <v>46</v>
      </c>
      <c r="E32" s="17" t="s">
        <v>47</v>
      </c>
      <c r="F32" s="36"/>
      <c r="G32" s="122" t="s">
        <v>52</v>
      </c>
      <c r="H32" s="17" t="s">
        <v>47</v>
      </c>
      <c r="I32" s="35" t="s">
        <v>47</v>
      </c>
      <c r="J32" s="35" t="s">
        <v>40</v>
      </c>
      <c r="K32" s="36"/>
      <c r="L32" s="122" t="s">
        <v>52</v>
      </c>
      <c r="M32" s="17" t="s">
        <v>57</v>
      </c>
      <c r="N32" s="35" t="s">
        <v>57</v>
      </c>
      <c r="O32" s="35" t="s">
        <v>44</v>
      </c>
      <c r="P32" s="36"/>
      <c r="Q32" s="34" t="s">
        <v>51</v>
      </c>
      <c r="R32" s="17" t="s">
        <v>41</v>
      </c>
      <c r="S32" s="17" t="s">
        <v>46</v>
      </c>
      <c r="T32" s="17" t="s">
        <v>46</v>
      </c>
      <c r="U32" s="36"/>
      <c r="V32" s="34" t="s">
        <v>51</v>
      </c>
      <c r="W32" s="17" t="s">
        <v>40</v>
      </c>
      <c r="X32" s="35" t="s">
        <v>44</v>
      </c>
      <c r="Y32" s="35" t="s">
        <v>47</v>
      </c>
      <c r="AA32" s="16" t="s">
        <v>87</v>
      </c>
      <c r="AB32" s="124" t="s">
        <v>41</v>
      </c>
      <c r="AC32" s="123" t="s">
        <v>47</v>
      </c>
      <c r="AD32" s="125" t="s">
        <v>57</v>
      </c>
      <c r="AE32" s="124" t="s">
        <v>41</v>
      </c>
      <c r="AF32" s="124" t="s">
        <v>40</v>
      </c>
    </row>
    <row r="33" spans="1:36" ht="16" customHeight="1" thickBot="1" x14ac:dyDescent="0.2">
      <c r="A33" s="30" t="s">
        <v>16</v>
      </c>
      <c r="B33" s="38"/>
      <c r="C33" s="39"/>
      <c r="D33" s="39"/>
      <c r="E33" s="39"/>
      <c r="F33" s="40"/>
      <c r="G33" s="38"/>
      <c r="H33" s="39"/>
      <c r="I33" s="39"/>
      <c r="J33" s="39"/>
      <c r="K33" s="40"/>
      <c r="L33" s="39"/>
      <c r="M33" s="39"/>
      <c r="N33" s="39"/>
      <c r="O33" s="39"/>
      <c r="P33" s="40"/>
      <c r="Q33" s="39"/>
      <c r="R33" s="39"/>
      <c r="S33" s="38"/>
      <c r="T33" s="38"/>
      <c r="U33" s="40"/>
      <c r="V33" s="38"/>
      <c r="W33" s="39"/>
      <c r="X33" s="39"/>
      <c r="Y33" s="39"/>
      <c r="AA33" s="18" t="s">
        <v>16</v>
      </c>
      <c r="AB33" s="19"/>
      <c r="AC33" s="19"/>
      <c r="AD33" s="19"/>
      <c r="AE33" s="19"/>
      <c r="AF33" s="19"/>
    </row>
    <row r="34" spans="1:36" ht="16" customHeight="1" thickBot="1" x14ac:dyDescent="0.2">
      <c r="A34" s="33" t="s">
        <v>17</v>
      </c>
      <c r="B34" s="37" t="s">
        <v>53</v>
      </c>
      <c r="C34" s="17" t="s">
        <v>44</v>
      </c>
      <c r="D34" s="17" t="s">
        <v>46</v>
      </c>
      <c r="E34" s="17" t="s">
        <v>46</v>
      </c>
      <c r="F34" s="36"/>
      <c r="G34" s="37" t="s">
        <v>53</v>
      </c>
      <c r="H34" s="17" t="s">
        <v>46</v>
      </c>
      <c r="I34" s="35" t="s">
        <v>41</v>
      </c>
      <c r="J34" s="35" t="s">
        <v>41</v>
      </c>
      <c r="K34" s="36"/>
      <c r="L34" s="122" t="s">
        <v>52</v>
      </c>
      <c r="M34" s="17" t="s">
        <v>57</v>
      </c>
      <c r="N34" s="35" t="s">
        <v>57</v>
      </c>
      <c r="O34" s="35" t="s">
        <v>57</v>
      </c>
      <c r="P34" s="36"/>
      <c r="Q34" s="34" t="s">
        <v>51</v>
      </c>
      <c r="R34" s="17" t="s">
        <v>44</v>
      </c>
      <c r="S34" s="17" t="s">
        <v>57</v>
      </c>
      <c r="T34" s="17" t="s">
        <v>44</v>
      </c>
      <c r="U34" s="36"/>
      <c r="V34" s="34" t="s">
        <v>51</v>
      </c>
      <c r="W34" s="17" t="s">
        <v>47</v>
      </c>
      <c r="X34" s="35" t="s">
        <v>46</v>
      </c>
      <c r="Y34" s="35" t="s">
        <v>41</v>
      </c>
      <c r="AA34" s="16" t="s">
        <v>17</v>
      </c>
      <c r="AB34" s="124" t="s">
        <v>44</v>
      </c>
      <c r="AC34" s="123" t="s">
        <v>46</v>
      </c>
      <c r="AD34" s="125" t="s">
        <v>57</v>
      </c>
      <c r="AE34" s="124" t="s">
        <v>44</v>
      </c>
      <c r="AF34" s="124" t="s">
        <v>47</v>
      </c>
    </row>
    <row r="35" spans="1:36" ht="16" customHeight="1" thickBot="1" x14ac:dyDescent="0.2">
      <c r="A35" s="30" t="s">
        <v>19</v>
      </c>
      <c r="B35" s="38"/>
      <c r="C35" s="39"/>
      <c r="D35" s="39"/>
      <c r="E35" s="39"/>
      <c r="F35" s="40"/>
      <c r="G35" s="38"/>
      <c r="H35" s="39"/>
      <c r="I35" s="39"/>
      <c r="J35" s="39"/>
      <c r="K35" s="40"/>
      <c r="L35" s="39"/>
      <c r="M35" s="39"/>
      <c r="N35" s="39"/>
      <c r="O35" s="39"/>
      <c r="P35" s="40"/>
      <c r="Q35" s="39"/>
      <c r="R35" s="39"/>
      <c r="S35" s="38"/>
      <c r="T35" s="38"/>
      <c r="U35" s="40"/>
      <c r="V35" s="38"/>
      <c r="W35" s="39"/>
      <c r="X35" s="39"/>
      <c r="Y35" s="39"/>
      <c r="AA35" s="18" t="s">
        <v>19</v>
      </c>
      <c r="AB35" s="19"/>
      <c r="AC35" s="19"/>
      <c r="AD35" s="19"/>
      <c r="AE35" s="19"/>
      <c r="AF35" s="19"/>
    </row>
    <row r="36" spans="1:36" ht="16" customHeight="1" thickBot="1" x14ac:dyDescent="0.2">
      <c r="A36" s="16" t="s">
        <v>108</v>
      </c>
      <c r="B36" s="37" t="s">
        <v>53</v>
      </c>
      <c r="C36" s="17" t="s">
        <v>42</v>
      </c>
      <c r="D36" s="17" t="s">
        <v>38</v>
      </c>
      <c r="E36" s="17" t="s">
        <v>38</v>
      </c>
      <c r="F36" s="36"/>
      <c r="G36" s="37" t="s">
        <v>53</v>
      </c>
      <c r="H36" s="17" t="s">
        <v>42</v>
      </c>
      <c r="I36" s="35" t="s">
        <v>45</v>
      </c>
      <c r="J36" s="35" t="s">
        <v>45</v>
      </c>
      <c r="K36" s="36"/>
      <c r="L36" s="37" t="s">
        <v>53</v>
      </c>
      <c r="M36" s="17" t="s">
        <v>46</v>
      </c>
      <c r="N36" s="35" t="s">
        <v>41</v>
      </c>
      <c r="O36" s="35" t="s">
        <v>93</v>
      </c>
      <c r="P36" s="36"/>
      <c r="Q36" s="122" t="s">
        <v>52</v>
      </c>
      <c r="R36" s="17" t="s">
        <v>30</v>
      </c>
      <c r="S36" s="17" t="s">
        <v>42</v>
      </c>
      <c r="T36" s="17" t="s">
        <v>93</v>
      </c>
      <c r="U36" s="36"/>
      <c r="V36" s="34" t="s">
        <v>51</v>
      </c>
      <c r="W36" s="17" t="s">
        <v>42</v>
      </c>
      <c r="X36" s="35" t="s">
        <v>43</v>
      </c>
      <c r="Y36" s="35" t="s">
        <v>38</v>
      </c>
      <c r="AA36" s="16" t="s">
        <v>108</v>
      </c>
      <c r="AB36" s="124" t="s">
        <v>42</v>
      </c>
      <c r="AC36" s="123" t="s">
        <v>42</v>
      </c>
      <c r="AD36" s="125" t="s">
        <v>46</v>
      </c>
      <c r="AE36" s="124" t="s">
        <v>30</v>
      </c>
      <c r="AF36" s="124" t="s">
        <v>42</v>
      </c>
    </row>
    <row r="37" spans="1:36" ht="16" customHeight="1" thickBot="1" x14ac:dyDescent="0.2">
      <c r="A37" s="16" t="s">
        <v>20</v>
      </c>
      <c r="B37" s="122" t="s">
        <v>52</v>
      </c>
      <c r="C37" s="17" t="s">
        <v>39</v>
      </c>
      <c r="D37" s="17" t="s">
        <v>39</v>
      </c>
      <c r="E37" s="17" t="s">
        <v>39</v>
      </c>
      <c r="F37" s="36"/>
      <c r="G37" s="122" t="s">
        <v>52</v>
      </c>
      <c r="H37" s="17" t="s">
        <v>48</v>
      </c>
      <c r="I37" s="35" t="s">
        <v>48</v>
      </c>
      <c r="J37" s="35" t="s">
        <v>48</v>
      </c>
      <c r="K37" s="36"/>
      <c r="L37" s="122" t="s">
        <v>52</v>
      </c>
      <c r="M37" s="17" t="s">
        <v>44</v>
      </c>
      <c r="N37" s="35" t="s">
        <v>44</v>
      </c>
      <c r="O37" s="35" t="s">
        <v>43</v>
      </c>
      <c r="P37" s="36"/>
      <c r="Q37" s="34" t="s">
        <v>51</v>
      </c>
      <c r="R37" s="17" t="s">
        <v>40</v>
      </c>
      <c r="S37" s="17" t="s">
        <v>41</v>
      </c>
      <c r="T37" s="17" t="s">
        <v>39</v>
      </c>
      <c r="U37" s="36"/>
      <c r="V37" s="122" t="s">
        <v>52</v>
      </c>
      <c r="W37" s="17" t="s">
        <v>30</v>
      </c>
      <c r="X37" s="35" t="s">
        <v>39</v>
      </c>
      <c r="Y37" s="35" t="s">
        <v>48</v>
      </c>
      <c r="AA37" s="16" t="s">
        <v>20</v>
      </c>
      <c r="AB37" s="124" t="s">
        <v>39</v>
      </c>
      <c r="AC37" s="123" t="s">
        <v>48</v>
      </c>
      <c r="AD37" s="125" t="s">
        <v>44</v>
      </c>
      <c r="AE37" s="124" t="s">
        <v>40</v>
      </c>
      <c r="AF37" s="124" t="s">
        <v>30</v>
      </c>
    </row>
    <row r="38" spans="1:36" ht="16" customHeight="1" thickBot="1" x14ac:dyDescent="0.2">
      <c r="A38" s="33" t="s">
        <v>21</v>
      </c>
      <c r="B38" s="122" t="s">
        <v>52</v>
      </c>
      <c r="C38" s="17" t="s">
        <v>47</v>
      </c>
      <c r="D38" s="17" t="s">
        <v>47</v>
      </c>
      <c r="E38" s="17" t="s">
        <v>40</v>
      </c>
      <c r="F38" s="36"/>
      <c r="G38" s="122" t="s">
        <v>52</v>
      </c>
      <c r="H38" s="17" t="s">
        <v>43</v>
      </c>
      <c r="I38" s="35" t="s">
        <v>43</v>
      </c>
      <c r="J38" s="35" t="s">
        <v>40</v>
      </c>
      <c r="K38" s="36"/>
      <c r="L38" s="34" t="s">
        <v>51</v>
      </c>
      <c r="M38" s="17" t="s">
        <v>44</v>
      </c>
      <c r="N38" s="35" t="s">
        <v>57</v>
      </c>
      <c r="O38" s="35" t="s">
        <v>41</v>
      </c>
      <c r="P38" s="36"/>
      <c r="Q38" s="122" t="s">
        <v>52</v>
      </c>
      <c r="R38" s="17" t="s">
        <v>46</v>
      </c>
      <c r="S38" s="17" t="s">
        <v>46</v>
      </c>
      <c r="T38" s="17" t="s">
        <v>41</v>
      </c>
      <c r="U38" s="36"/>
      <c r="V38" s="34" t="s">
        <v>51</v>
      </c>
      <c r="W38" s="17" t="s">
        <v>40</v>
      </c>
      <c r="X38" s="17" t="s">
        <v>41</v>
      </c>
      <c r="Y38" s="17" t="s">
        <v>115</v>
      </c>
      <c r="AA38" s="16" t="s">
        <v>21</v>
      </c>
      <c r="AB38" s="124" t="s">
        <v>47</v>
      </c>
      <c r="AC38" s="123" t="s">
        <v>43</v>
      </c>
      <c r="AD38" s="125" t="s">
        <v>44</v>
      </c>
      <c r="AE38" s="124" t="s">
        <v>46</v>
      </c>
      <c r="AF38" s="124" t="s">
        <v>40</v>
      </c>
    </row>
    <row r="39" spans="1:36" ht="16" customHeight="1" thickBot="1" x14ac:dyDescent="0.2">
      <c r="A39" s="30" t="s">
        <v>22</v>
      </c>
      <c r="B39" s="38"/>
      <c r="C39" s="39"/>
      <c r="D39" s="39"/>
      <c r="E39" s="39"/>
      <c r="F39" s="40"/>
      <c r="G39" s="38"/>
      <c r="H39" s="39"/>
      <c r="I39" s="39"/>
      <c r="J39" s="39"/>
      <c r="K39" s="40"/>
      <c r="L39" s="39"/>
      <c r="M39" s="39"/>
      <c r="N39" s="39"/>
      <c r="O39" s="39"/>
      <c r="P39" s="40"/>
      <c r="Q39" s="39"/>
      <c r="R39" s="39"/>
      <c r="S39" s="38"/>
      <c r="T39" s="38"/>
      <c r="U39" s="40"/>
      <c r="V39" s="38"/>
      <c r="W39" s="39"/>
      <c r="X39" s="39"/>
      <c r="Y39" s="39"/>
      <c r="AA39" s="18" t="s">
        <v>22</v>
      </c>
      <c r="AB39" s="19"/>
      <c r="AC39" s="19"/>
      <c r="AD39" s="19"/>
      <c r="AE39" s="19"/>
      <c r="AF39" s="19"/>
    </row>
    <row r="40" spans="1:36" ht="16" customHeight="1" thickBot="1" x14ac:dyDescent="0.2">
      <c r="A40" s="33" t="s">
        <v>89</v>
      </c>
      <c r="B40" s="37" t="s">
        <v>53</v>
      </c>
      <c r="C40" s="17" t="s">
        <v>38</v>
      </c>
      <c r="D40" s="17" t="s">
        <v>45</v>
      </c>
      <c r="E40" s="17" t="s">
        <v>38</v>
      </c>
      <c r="F40" s="36"/>
      <c r="G40" s="122" t="s">
        <v>52</v>
      </c>
      <c r="H40" s="17" t="s">
        <v>49</v>
      </c>
      <c r="I40" s="35" t="s">
        <v>49</v>
      </c>
      <c r="J40" s="35" t="s">
        <v>49</v>
      </c>
      <c r="K40" s="36"/>
      <c r="L40" s="34" t="s">
        <v>51</v>
      </c>
      <c r="M40" s="17" t="s">
        <v>43</v>
      </c>
      <c r="N40" s="35" t="s">
        <v>46</v>
      </c>
      <c r="O40" s="35" t="s">
        <v>40</v>
      </c>
      <c r="P40" s="36"/>
      <c r="Q40" s="37" t="s">
        <v>53</v>
      </c>
      <c r="R40" s="17" t="s">
        <v>40</v>
      </c>
      <c r="S40" s="17" t="s">
        <v>38</v>
      </c>
      <c r="T40" s="17" t="s">
        <v>39</v>
      </c>
      <c r="U40" s="36"/>
      <c r="V40" s="122" t="s">
        <v>52</v>
      </c>
      <c r="W40" s="17" t="s">
        <v>30</v>
      </c>
      <c r="X40" s="17" t="s">
        <v>30</v>
      </c>
      <c r="Y40" s="17" t="s">
        <v>42</v>
      </c>
      <c r="AA40" s="16" t="s">
        <v>89</v>
      </c>
      <c r="AB40" s="124" t="s">
        <v>38</v>
      </c>
      <c r="AC40" s="120" t="s">
        <v>49</v>
      </c>
      <c r="AD40" s="121" t="s">
        <v>43</v>
      </c>
      <c r="AE40" s="124" t="s">
        <v>40</v>
      </c>
      <c r="AF40" s="119" t="s">
        <v>30</v>
      </c>
    </row>
    <row r="41" spans="1:36" ht="16" customHeight="1" thickBot="1" x14ac:dyDescent="0.2">
      <c r="A41" s="33" t="s">
        <v>29</v>
      </c>
      <c r="B41" s="122" t="s">
        <v>52</v>
      </c>
      <c r="C41" s="17" t="s">
        <v>48</v>
      </c>
      <c r="D41" s="17" t="s">
        <v>48</v>
      </c>
      <c r="E41" s="17" t="s">
        <v>39</v>
      </c>
      <c r="F41" s="41"/>
      <c r="G41" s="37" t="s">
        <v>53</v>
      </c>
      <c r="H41" s="17" t="s">
        <v>42</v>
      </c>
      <c r="I41" s="35" t="s">
        <v>38</v>
      </c>
      <c r="J41" s="35" t="s">
        <v>42</v>
      </c>
      <c r="K41" s="41"/>
      <c r="L41" s="122" t="s">
        <v>52</v>
      </c>
      <c r="M41" s="17" t="s">
        <v>57</v>
      </c>
      <c r="N41" s="35" t="s">
        <v>57</v>
      </c>
      <c r="O41" s="35" t="s">
        <v>46</v>
      </c>
      <c r="P41" s="41"/>
      <c r="Q41" s="122" t="s">
        <v>52</v>
      </c>
      <c r="R41" s="17" t="s">
        <v>41</v>
      </c>
      <c r="S41" s="17" t="s">
        <v>41</v>
      </c>
      <c r="T41" s="17" t="s">
        <v>40</v>
      </c>
      <c r="U41" s="41"/>
      <c r="V41" s="122" t="s">
        <v>52</v>
      </c>
      <c r="W41" s="17" t="s">
        <v>39</v>
      </c>
      <c r="X41" s="17" t="s">
        <v>30</v>
      </c>
      <c r="Y41" s="17" t="s">
        <v>39</v>
      </c>
      <c r="AA41" s="16" t="s">
        <v>29</v>
      </c>
      <c r="AB41" s="119" t="s">
        <v>48</v>
      </c>
      <c r="AC41" s="123" t="s">
        <v>42</v>
      </c>
      <c r="AD41" s="121" t="s">
        <v>57</v>
      </c>
      <c r="AE41" s="119" t="s">
        <v>41</v>
      </c>
      <c r="AF41" s="124" t="s">
        <v>39</v>
      </c>
    </row>
    <row r="42" spans="1:36" ht="16" customHeight="1" thickBot="1" x14ac:dyDescent="0.2">
      <c r="A42" s="33" t="s">
        <v>25</v>
      </c>
      <c r="B42" s="122" t="s">
        <v>52</v>
      </c>
      <c r="C42" s="17" t="s">
        <v>40</v>
      </c>
      <c r="D42" s="17" t="s">
        <v>40</v>
      </c>
      <c r="E42" s="17" t="s">
        <v>47</v>
      </c>
      <c r="F42" s="36"/>
      <c r="G42" s="122" t="s">
        <v>52</v>
      </c>
      <c r="H42" s="17" t="s">
        <v>43</v>
      </c>
      <c r="I42" s="35" t="s">
        <v>43</v>
      </c>
      <c r="J42" s="35" t="s">
        <v>40</v>
      </c>
      <c r="K42" s="36"/>
      <c r="L42" s="122" t="s">
        <v>52</v>
      </c>
      <c r="M42" s="17" t="s">
        <v>57</v>
      </c>
      <c r="N42" s="35" t="s">
        <v>57</v>
      </c>
      <c r="O42" s="35" t="s">
        <v>44</v>
      </c>
      <c r="P42" s="36"/>
      <c r="Q42" s="122" t="s">
        <v>52</v>
      </c>
      <c r="R42" s="17" t="s">
        <v>46</v>
      </c>
      <c r="S42" s="17" t="s">
        <v>46</v>
      </c>
      <c r="T42" s="17" t="s">
        <v>41</v>
      </c>
      <c r="U42" s="36"/>
      <c r="V42" s="34" t="s">
        <v>51</v>
      </c>
      <c r="W42" s="17" t="s">
        <v>40</v>
      </c>
      <c r="X42" s="17" t="s">
        <v>46</v>
      </c>
      <c r="Y42" s="17" t="s">
        <v>41</v>
      </c>
      <c r="AA42" s="16" t="s">
        <v>25</v>
      </c>
      <c r="AB42" s="119" t="s">
        <v>40</v>
      </c>
      <c r="AC42" s="120" t="s">
        <v>43</v>
      </c>
      <c r="AD42" s="121" t="s">
        <v>57</v>
      </c>
      <c r="AE42" s="119" t="s">
        <v>46</v>
      </c>
      <c r="AF42" s="119" t="s">
        <v>40</v>
      </c>
    </row>
    <row r="43" spans="1:36" x14ac:dyDescent="0.15">
      <c r="AG43" s="7"/>
      <c r="AH43" s="7"/>
      <c r="AI43" s="7"/>
      <c r="AJ43" s="7"/>
    </row>
    <row r="44" spans="1:36" x14ac:dyDescent="0.15">
      <c r="A44" s="10" t="s">
        <v>67</v>
      </c>
      <c r="B44" s="7"/>
      <c r="C44" s="7"/>
      <c r="D44" s="7"/>
      <c r="E44" s="7"/>
      <c r="F44" s="7"/>
      <c r="G44" s="42"/>
      <c r="H44" s="7"/>
      <c r="I44" s="7"/>
      <c r="J44" s="7"/>
      <c r="K44" s="7"/>
      <c r="L44" s="42"/>
      <c r="M44" s="7"/>
      <c r="N44" s="7"/>
      <c r="O44" s="7"/>
      <c r="P44" s="7"/>
      <c r="Q44" s="42"/>
      <c r="R44" s="7"/>
      <c r="S44" s="7"/>
      <c r="T44" s="7"/>
      <c r="U44" s="7"/>
      <c r="V44" s="42"/>
      <c r="W44" s="7"/>
      <c r="X44" s="7"/>
      <c r="Y44" s="7"/>
      <c r="Z44" s="7"/>
      <c r="AG44" s="7"/>
      <c r="AH44" s="7"/>
      <c r="AI44" s="7"/>
      <c r="AJ44" s="7"/>
    </row>
    <row r="45" spans="1:36" x14ac:dyDescent="0.15">
      <c r="B45" s="7"/>
      <c r="C45" s="7"/>
      <c r="D45" s="7"/>
      <c r="E45" s="42"/>
      <c r="F45" s="7"/>
      <c r="G45" s="7"/>
      <c r="H45" s="7"/>
      <c r="I45" s="7"/>
      <c r="J45" s="42"/>
      <c r="K45" s="7"/>
      <c r="L45" s="7"/>
      <c r="M45" s="7"/>
      <c r="N45" s="7"/>
      <c r="O45" s="7"/>
      <c r="P45" s="7"/>
      <c r="Q45" s="42"/>
      <c r="R45" s="7"/>
      <c r="S45" s="7"/>
      <c r="T45" s="7"/>
      <c r="U45" s="7"/>
      <c r="V45" s="42"/>
      <c r="W45" s="7"/>
      <c r="X45" s="7"/>
      <c r="Y45" s="7"/>
      <c r="Z45" s="7"/>
      <c r="AG45" s="7"/>
      <c r="AH45" s="7"/>
      <c r="AI45" s="7"/>
      <c r="AJ45" s="7"/>
    </row>
    <row r="46" spans="1:36" x14ac:dyDescent="0.15">
      <c r="A46" s="20"/>
      <c r="B46" s="42"/>
      <c r="C46" s="7"/>
      <c r="D46" s="7"/>
      <c r="E46" s="7"/>
      <c r="F46" s="7"/>
      <c r="G46" s="42"/>
      <c r="H46" s="7"/>
      <c r="I46" s="7"/>
      <c r="J46" s="7"/>
      <c r="K46" s="7"/>
      <c r="L46" s="42"/>
      <c r="M46" s="7"/>
      <c r="N46" s="7"/>
      <c r="O46" s="7"/>
      <c r="P46" s="7"/>
      <c r="Q46" s="42"/>
      <c r="R46" s="7"/>
      <c r="S46" s="7"/>
      <c r="T46" s="7"/>
      <c r="U46" s="7"/>
      <c r="V46" s="42"/>
      <c r="W46" s="7"/>
      <c r="X46" s="7"/>
      <c r="Y46" s="7"/>
      <c r="Z46" s="7"/>
      <c r="AG46" s="7"/>
      <c r="AH46" s="7"/>
      <c r="AI46" s="7"/>
      <c r="AJ46" s="7"/>
    </row>
    <row r="47" spans="1:36" x14ac:dyDescent="0.15">
      <c r="A47" s="53"/>
      <c r="B47" s="42"/>
      <c r="C47" s="7"/>
      <c r="D47" s="7"/>
      <c r="E47" s="7"/>
      <c r="F47" s="7"/>
      <c r="G47" s="42"/>
      <c r="H47" s="7"/>
      <c r="I47" s="7"/>
      <c r="J47" s="7"/>
      <c r="K47" s="7"/>
      <c r="L47" s="42"/>
      <c r="M47" s="7"/>
      <c r="N47" s="7"/>
      <c r="O47" s="7"/>
      <c r="P47" s="7"/>
      <c r="Q47" s="42"/>
      <c r="R47" s="7"/>
      <c r="S47" s="7"/>
      <c r="T47" s="7"/>
      <c r="U47" s="7"/>
      <c r="V47" s="42"/>
      <c r="W47" s="7"/>
      <c r="X47" s="7"/>
      <c r="Y47" s="7"/>
      <c r="Z47" s="7"/>
      <c r="AG47" s="7"/>
      <c r="AH47" s="7"/>
      <c r="AI47" s="7"/>
      <c r="AJ47" s="7"/>
    </row>
    <row r="48" spans="1:36" x14ac:dyDescent="0.15">
      <c r="B48" s="54"/>
      <c r="H48" s="7"/>
      <c r="I48" s="7"/>
      <c r="J48" s="7"/>
      <c r="K48" s="7"/>
      <c r="L48" s="42"/>
      <c r="M48" s="7"/>
      <c r="N48" s="7"/>
      <c r="O48" s="7"/>
      <c r="P48" s="7"/>
      <c r="Q48" s="42"/>
      <c r="R48" s="7"/>
      <c r="S48" s="7"/>
      <c r="T48" s="7"/>
      <c r="U48" s="7"/>
      <c r="V48" s="42"/>
      <c r="W48" s="7"/>
      <c r="X48" s="7"/>
      <c r="Y48" s="7"/>
      <c r="Z48" s="7"/>
    </row>
    <row r="49" spans="1:2" x14ac:dyDescent="0.15">
      <c r="B49" s="54"/>
    </row>
    <row r="50" spans="1:2" x14ac:dyDescent="0.15">
      <c r="B50" s="54"/>
    </row>
    <row r="51" spans="1:2" x14ac:dyDescent="0.15">
      <c r="B51" s="54"/>
    </row>
    <row r="52" spans="1:2" x14ac:dyDescent="0.15">
      <c r="B52" s="54"/>
    </row>
    <row r="53" spans="1:2" x14ac:dyDescent="0.15">
      <c r="B53" s="54"/>
    </row>
    <row r="54" spans="1:2" x14ac:dyDescent="0.15">
      <c r="B54" s="54"/>
    </row>
    <row r="55" spans="1:2" x14ac:dyDescent="0.15">
      <c r="A55" s="53"/>
    </row>
    <row r="56" spans="1:2" x14ac:dyDescent="0.15">
      <c r="B56" s="54"/>
    </row>
    <row r="57" spans="1:2" x14ac:dyDescent="0.15">
      <c r="B57" s="54"/>
    </row>
    <row r="58" spans="1:2" x14ac:dyDescent="0.15">
      <c r="B58" s="54"/>
    </row>
    <row r="59" spans="1:2" x14ac:dyDescent="0.15">
      <c r="B59" s="54"/>
    </row>
    <row r="60" spans="1:2" x14ac:dyDescent="0.15">
      <c r="B60" s="54"/>
    </row>
    <row r="61" spans="1:2" x14ac:dyDescent="0.15">
      <c r="B61" s="54"/>
    </row>
    <row r="62" spans="1:2" x14ac:dyDescent="0.15">
      <c r="A62" s="20"/>
      <c r="B62" s="54"/>
    </row>
    <row r="63" spans="1:2" x14ac:dyDescent="0.15">
      <c r="B63" s="54"/>
    </row>
    <row r="64" spans="1:2" x14ac:dyDescent="0.15">
      <c r="B64" s="54"/>
    </row>
    <row r="65" spans="1:2" x14ac:dyDescent="0.15">
      <c r="B65" s="54"/>
    </row>
    <row r="66" spans="1:2" x14ac:dyDescent="0.15">
      <c r="A66" s="56"/>
      <c r="B66" s="54"/>
    </row>
    <row r="67" spans="1:2" x14ac:dyDescent="0.15">
      <c r="B67" s="54"/>
    </row>
    <row r="68" spans="1:2" x14ac:dyDescent="0.15">
      <c r="B68" s="54"/>
    </row>
    <row r="69" spans="1:2" x14ac:dyDescent="0.15">
      <c r="B69" s="54"/>
    </row>
    <row r="71" spans="1:2" x14ac:dyDescent="0.15">
      <c r="A71" s="53"/>
    </row>
    <row r="72" spans="1:2" x14ac:dyDescent="0.15">
      <c r="B72" s="54"/>
    </row>
    <row r="73" spans="1:2" x14ac:dyDescent="0.15">
      <c r="B73" s="54"/>
    </row>
    <row r="74" spans="1:2" x14ac:dyDescent="0.15">
      <c r="B74" s="54"/>
    </row>
    <row r="75" spans="1:2" x14ac:dyDescent="0.15">
      <c r="B75" s="54"/>
    </row>
    <row r="76" spans="1:2" x14ac:dyDescent="0.15">
      <c r="B76" s="54"/>
    </row>
    <row r="77" spans="1:2" x14ac:dyDescent="0.15">
      <c r="B77" s="54"/>
    </row>
    <row r="78" spans="1:2" x14ac:dyDescent="0.15">
      <c r="A78" s="53"/>
      <c r="B78" s="54"/>
    </row>
    <row r="79" spans="1:2" x14ac:dyDescent="0.15">
      <c r="B79" s="55"/>
    </row>
    <row r="80" spans="1:2" x14ac:dyDescent="0.15">
      <c r="B80" s="55"/>
    </row>
    <row r="81" spans="2:2" x14ac:dyDescent="0.15">
      <c r="B81" s="55"/>
    </row>
    <row r="82" spans="2:2" x14ac:dyDescent="0.15">
      <c r="B82" s="55"/>
    </row>
    <row r="83" spans="2:2" x14ac:dyDescent="0.15">
      <c r="B83" s="55"/>
    </row>
    <row r="84" spans="2:2" x14ac:dyDescent="0.15">
      <c r="B84" s="55"/>
    </row>
    <row r="85" spans="2:2" x14ac:dyDescent="0.15">
      <c r="B85" s="55"/>
    </row>
    <row r="86" spans="2:2" x14ac:dyDescent="0.15">
      <c r="B86" s="55"/>
    </row>
    <row r="87" spans="2:2" x14ac:dyDescent="0.15">
      <c r="B87" s="55"/>
    </row>
    <row r="88" spans="2:2" x14ac:dyDescent="0.15">
      <c r="B88" s="55"/>
    </row>
    <row r="89" spans="2:2" x14ac:dyDescent="0.15">
      <c r="B89" s="55"/>
    </row>
    <row r="90" spans="2:2" x14ac:dyDescent="0.15">
      <c r="B90" s="55"/>
    </row>
    <row r="91" spans="2:2" x14ac:dyDescent="0.15">
      <c r="B91" s="55"/>
    </row>
    <row r="92" spans="2:2" x14ac:dyDescent="0.15">
      <c r="B92" s="55"/>
    </row>
    <row r="93" spans="2:2" x14ac:dyDescent="0.15">
      <c r="B93" s="55"/>
    </row>
    <row r="94" spans="2:2" x14ac:dyDescent="0.15">
      <c r="B94" s="54"/>
    </row>
    <row r="95" spans="2:2" x14ac:dyDescent="0.15">
      <c r="B95" s="54"/>
    </row>
    <row r="96" spans="2:2" x14ac:dyDescent="0.15">
      <c r="B96" s="54"/>
    </row>
    <row r="97" spans="2:2" x14ac:dyDescent="0.15">
      <c r="B97" s="54"/>
    </row>
    <row r="98" spans="2:2" x14ac:dyDescent="0.15">
      <c r="B98" s="54"/>
    </row>
    <row r="99" spans="2:2" x14ac:dyDescent="0.15">
      <c r="B99" s="54"/>
    </row>
    <row r="100" spans="2:2" x14ac:dyDescent="0.15">
      <c r="B100" s="54"/>
    </row>
    <row r="101" spans="2:2" x14ac:dyDescent="0.15">
      <c r="B101" s="54"/>
    </row>
  </sheetData>
  <mergeCells count="11">
    <mergeCell ref="V14:Y14"/>
    <mergeCell ref="A6:Y6"/>
    <mergeCell ref="A5:Y5"/>
    <mergeCell ref="A4:Y4"/>
    <mergeCell ref="B1:Y2"/>
    <mergeCell ref="B3:Y3"/>
    <mergeCell ref="A1:A3"/>
    <mergeCell ref="B14:E14"/>
    <mergeCell ref="G14:J14"/>
    <mergeCell ref="L14:O14"/>
    <mergeCell ref="Q14:T14"/>
  </mergeCells>
  <phoneticPr fontId="54" type="noConversion"/>
  <pageMargins left="0.7" right="0.7" top="0.75" bottom="0.75" header="0.3" footer="0.3"/>
  <pageSetup scale="21" orientation="portrait" horizontalDpi="4294967292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DC79"/>
  <sheetViews>
    <sheetView workbookViewId="0">
      <pane xSplit="1" topLeftCell="B1" activePane="topRight" state="frozen"/>
      <selection activeCell="F137" sqref="A1:F137"/>
      <selection pane="topRight" activeCell="F137" sqref="A1:F137"/>
    </sheetView>
  </sheetViews>
  <sheetFormatPr baseColWidth="10" defaultColWidth="8.83203125" defaultRowHeight="14" x14ac:dyDescent="0.15"/>
  <cols>
    <col min="1" max="1" width="49.83203125" style="10" bestFit="1" customWidth="1"/>
    <col min="2" max="2" width="18.83203125" style="10" customWidth="1"/>
    <col min="3" max="3" width="18.33203125" style="10" customWidth="1"/>
    <col min="4" max="5" width="18.83203125" style="10" bestFit="1" customWidth="1"/>
    <col min="6" max="6" width="18.33203125" style="10" customWidth="1"/>
    <col min="7" max="8" width="18.33203125" style="10" hidden="1" customWidth="1"/>
    <col min="9" max="105" width="8.83203125" style="7"/>
    <col min="106" max="16384" width="8.83203125" style="10"/>
  </cols>
  <sheetData>
    <row r="1" spans="1:107" s="4" customFormat="1" ht="35.5" customHeight="1" x14ac:dyDescent="0.15">
      <c r="A1" s="143"/>
      <c r="B1" s="135" t="s">
        <v>207</v>
      </c>
      <c r="C1" s="135"/>
      <c r="D1" s="135"/>
      <c r="E1" s="135"/>
      <c r="F1" s="135"/>
      <c r="G1" s="135"/>
      <c r="H1" s="135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</row>
    <row r="2" spans="1:107" s="4" customFormat="1" ht="13.25" customHeight="1" x14ac:dyDescent="0.15">
      <c r="A2" s="143"/>
      <c r="B2" s="135"/>
      <c r="C2" s="135"/>
      <c r="D2" s="135"/>
      <c r="E2" s="135"/>
      <c r="F2" s="135"/>
      <c r="G2" s="135"/>
      <c r="H2" s="135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</row>
    <row r="3" spans="1:107" s="4" customFormat="1" ht="30.5" customHeight="1" x14ac:dyDescent="0.15">
      <c r="A3" s="143"/>
      <c r="B3" s="149" t="s">
        <v>304</v>
      </c>
      <c r="C3" s="149"/>
      <c r="D3" s="149"/>
      <c r="E3" s="149"/>
      <c r="F3" s="149"/>
      <c r="G3" s="149"/>
      <c r="H3" s="149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</row>
    <row r="4" spans="1:107" s="6" customFormat="1" x14ac:dyDescent="0.15"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</row>
    <row r="5" spans="1:107" s="9" customFormat="1" ht="30" customHeight="1" x14ac:dyDescent="0.15">
      <c r="A5" s="155" t="s">
        <v>64</v>
      </c>
      <c r="B5" s="155"/>
      <c r="C5" s="155"/>
      <c r="D5" s="155"/>
      <c r="E5" s="155"/>
      <c r="F5" s="155"/>
      <c r="G5" s="155"/>
      <c r="H5" s="155"/>
      <c r="I5" s="44"/>
      <c r="J5" s="44"/>
      <c r="K5" s="44"/>
      <c r="L5" s="4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</row>
    <row r="6" spans="1:107" s="9" customFormat="1" ht="12.5" customHeight="1" x14ac:dyDescent="0.15">
      <c r="A6" s="148" t="s">
        <v>196</v>
      </c>
      <c r="B6" s="148"/>
      <c r="C6" s="148"/>
      <c r="D6" s="148"/>
      <c r="E6" s="148"/>
      <c r="F6" s="148"/>
      <c r="G6" s="148"/>
      <c r="H6" s="148"/>
      <c r="I6" s="45"/>
      <c r="J6" s="45"/>
      <c r="K6" s="45"/>
      <c r="L6" s="4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7" s="9" customFormat="1" ht="12.5" customHeight="1" x14ac:dyDescent="0.15">
      <c r="A7" s="46"/>
      <c r="B7" s="46"/>
      <c r="C7" s="46"/>
      <c r="D7" s="46"/>
      <c r="E7" s="46"/>
      <c r="F7" s="46"/>
      <c r="G7" s="46"/>
      <c r="H7" s="46"/>
      <c r="I7" s="45"/>
      <c r="J7" s="45"/>
      <c r="K7" s="45"/>
      <c r="L7" s="4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7" x14ac:dyDescent="0.15">
      <c r="A8" s="11"/>
      <c r="B8" s="11"/>
      <c r="DB8" s="7"/>
      <c r="DC8" s="7"/>
    </row>
    <row r="9" spans="1:107" x14ac:dyDescent="0.15">
      <c r="A9" s="47" t="s">
        <v>109</v>
      </c>
      <c r="B9" s="52" t="s">
        <v>116</v>
      </c>
      <c r="C9" s="52" t="s">
        <v>33</v>
      </c>
      <c r="D9" s="52" t="s">
        <v>31</v>
      </c>
      <c r="E9" s="52" t="s">
        <v>32</v>
      </c>
      <c r="F9" s="52" t="s">
        <v>34</v>
      </c>
      <c r="G9" s="128" t="s">
        <v>35</v>
      </c>
      <c r="H9" s="128" t="s">
        <v>63</v>
      </c>
      <c r="DB9" s="7"/>
    </row>
    <row r="10" spans="1:107" ht="15" thickBot="1" x14ac:dyDescent="0.2">
      <c r="A10" s="14" t="s">
        <v>103</v>
      </c>
      <c r="B10" s="15"/>
      <c r="C10" s="15"/>
      <c r="D10" s="15"/>
      <c r="E10" s="15"/>
      <c r="F10" s="15"/>
      <c r="G10" s="15"/>
      <c r="H10" s="15"/>
      <c r="DB10" s="7"/>
    </row>
    <row r="11" spans="1:107" ht="15" thickBot="1" x14ac:dyDescent="0.2">
      <c r="A11" s="16" t="s">
        <v>99</v>
      </c>
      <c r="B11" s="48" t="s">
        <v>45</v>
      </c>
      <c r="C11" s="48" t="s">
        <v>30</v>
      </c>
      <c r="D11" s="48" t="s">
        <v>215</v>
      </c>
      <c r="E11" s="48" t="s">
        <v>210</v>
      </c>
      <c r="F11" s="48" t="s">
        <v>30</v>
      </c>
      <c r="G11" s="49" t="s">
        <v>42</v>
      </c>
      <c r="H11" s="48" t="s">
        <v>30</v>
      </c>
      <c r="DB11" s="7"/>
    </row>
    <row r="12" spans="1:107" ht="15" thickBot="1" x14ac:dyDescent="0.2">
      <c r="A12" s="16" t="s">
        <v>1</v>
      </c>
      <c r="B12" s="48" t="s">
        <v>38</v>
      </c>
      <c r="C12" s="48" t="s">
        <v>126</v>
      </c>
      <c r="D12" s="48" t="s">
        <v>210</v>
      </c>
      <c r="E12" s="48" t="s">
        <v>210</v>
      </c>
      <c r="F12" s="48" t="s">
        <v>47</v>
      </c>
      <c r="G12" s="49" t="s">
        <v>43</v>
      </c>
      <c r="H12" s="48" t="s">
        <v>39</v>
      </c>
      <c r="DB12" s="7"/>
    </row>
    <row r="13" spans="1:107" ht="15" thickBot="1" x14ac:dyDescent="0.2">
      <c r="A13" s="16" t="s">
        <v>2</v>
      </c>
      <c r="B13" s="48" t="s">
        <v>43</v>
      </c>
      <c r="C13" s="48" t="s">
        <v>30</v>
      </c>
      <c r="D13" s="48" t="s">
        <v>211</v>
      </c>
      <c r="E13" s="48" t="s">
        <v>218</v>
      </c>
      <c r="F13" s="48" t="s">
        <v>47</v>
      </c>
      <c r="G13" s="49" t="s">
        <v>46</v>
      </c>
      <c r="H13" s="48" t="s">
        <v>40</v>
      </c>
      <c r="DB13" s="7"/>
    </row>
    <row r="14" spans="1:107" ht="15" thickBot="1" x14ac:dyDescent="0.2">
      <c r="A14" s="16" t="s">
        <v>3</v>
      </c>
      <c r="B14" s="48" t="s">
        <v>42</v>
      </c>
      <c r="C14" s="48" t="s">
        <v>30</v>
      </c>
      <c r="D14" s="48" t="s">
        <v>220</v>
      </c>
      <c r="E14" s="48" t="s">
        <v>210</v>
      </c>
      <c r="F14" s="48" t="s">
        <v>47</v>
      </c>
      <c r="G14" s="49" t="s">
        <v>46</v>
      </c>
      <c r="H14" s="48" t="s">
        <v>40</v>
      </c>
      <c r="DB14" s="7"/>
    </row>
    <row r="15" spans="1:107" ht="15" thickBot="1" x14ac:dyDescent="0.2">
      <c r="A15" s="16" t="s">
        <v>69</v>
      </c>
      <c r="B15" s="48" t="s">
        <v>38</v>
      </c>
      <c r="C15" s="48" t="s">
        <v>126</v>
      </c>
      <c r="D15" s="48" t="s">
        <v>210</v>
      </c>
      <c r="E15" s="48" t="s">
        <v>216</v>
      </c>
      <c r="F15" s="48" t="s">
        <v>30</v>
      </c>
      <c r="G15" s="49" t="s">
        <v>38</v>
      </c>
      <c r="H15" s="48" t="s">
        <v>42</v>
      </c>
      <c r="DB15" s="7"/>
    </row>
    <row r="16" spans="1:107" ht="15" thickBot="1" x14ac:dyDescent="0.2">
      <c r="A16" s="16" t="s">
        <v>100</v>
      </c>
      <c r="B16" s="48" t="s">
        <v>128</v>
      </c>
      <c r="C16" s="48" t="s">
        <v>47</v>
      </c>
      <c r="D16" s="48" t="s">
        <v>211</v>
      </c>
      <c r="E16" s="48" t="s">
        <v>211</v>
      </c>
      <c r="F16" s="48" t="s">
        <v>41</v>
      </c>
      <c r="G16" s="49" t="s">
        <v>43</v>
      </c>
      <c r="H16" s="48" t="s">
        <v>43</v>
      </c>
      <c r="DB16" s="7"/>
    </row>
    <row r="17" spans="1:106" ht="15" thickBot="1" x14ac:dyDescent="0.2">
      <c r="A17" s="16" t="s">
        <v>98</v>
      </c>
      <c r="B17" s="48" t="s">
        <v>126</v>
      </c>
      <c r="C17" s="48" t="s">
        <v>41</v>
      </c>
      <c r="D17" s="48" t="s">
        <v>213</v>
      </c>
      <c r="E17" s="48" t="s">
        <v>218</v>
      </c>
      <c r="F17" s="48" t="s">
        <v>41</v>
      </c>
      <c r="G17" s="49" t="s">
        <v>46</v>
      </c>
      <c r="H17" s="48" t="s">
        <v>47</v>
      </c>
      <c r="DB17" s="7"/>
    </row>
    <row r="18" spans="1:106" ht="15" thickBot="1" x14ac:dyDescent="0.2">
      <c r="A18" s="16" t="s">
        <v>4</v>
      </c>
      <c r="B18" s="48" t="s">
        <v>129</v>
      </c>
      <c r="C18" s="48" t="s">
        <v>44</v>
      </c>
      <c r="D18" s="48" t="s">
        <v>217</v>
      </c>
      <c r="E18" s="48" t="s">
        <v>217</v>
      </c>
      <c r="F18" s="48" t="s">
        <v>30</v>
      </c>
      <c r="G18" s="49" t="s">
        <v>46</v>
      </c>
      <c r="H18" s="48" t="s">
        <v>46</v>
      </c>
      <c r="DB18" s="7"/>
    </row>
    <row r="19" spans="1:106" ht="15" thickBot="1" x14ac:dyDescent="0.2">
      <c r="A19" s="18" t="s">
        <v>5</v>
      </c>
      <c r="B19" s="50"/>
      <c r="C19" s="50"/>
      <c r="D19" s="50"/>
      <c r="E19" s="50"/>
      <c r="F19" s="50"/>
      <c r="G19" s="50"/>
      <c r="H19" s="50"/>
      <c r="DB19" s="7"/>
    </row>
    <row r="20" spans="1:106" ht="15" thickBot="1" x14ac:dyDescent="0.2">
      <c r="A20" s="16" t="s">
        <v>106</v>
      </c>
      <c r="B20" s="48" t="s">
        <v>223</v>
      </c>
      <c r="C20" s="48" t="s">
        <v>49</v>
      </c>
      <c r="D20" s="48" t="s">
        <v>224</v>
      </c>
      <c r="E20" s="48" t="s">
        <v>224</v>
      </c>
      <c r="F20" s="48" t="s">
        <v>220</v>
      </c>
      <c r="G20" s="49" t="s">
        <v>49</v>
      </c>
      <c r="H20" s="48" t="s">
        <v>38</v>
      </c>
      <c r="I20" s="51"/>
      <c r="DB20" s="7"/>
    </row>
    <row r="21" spans="1:106" ht="15" thickBot="1" x14ac:dyDescent="0.2">
      <c r="A21" s="16" t="s">
        <v>71</v>
      </c>
      <c r="B21" s="48" t="s">
        <v>37</v>
      </c>
      <c r="C21" s="48" t="s">
        <v>30</v>
      </c>
      <c r="D21" s="48" t="s">
        <v>224</v>
      </c>
      <c r="E21" s="48" t="s">
        <v>130</v>
      </c>
      <c r="F21" s="48" t="s">
        <v>30</v>
      </c>
      <c r="G21" s="49" t="s">
        <v>37</v>
      </c>
      <c r="H21" s="48" t="s">
        <v>30</v>
      </c>
      <c r="I21" s="51"/>
      <c r="DB21" s="7"/>
    </row>
    <row r="22" spans="1:106" ht="15" thickBot="1" x14ac:dyDescent="0.2">
      <c r="A22" s="16" t="s">
        <v>70</v>
      </c>
      <c r="B22" s="48" t="s">
        <v>49</v>
      </c>
      <c r="C22" s="48" t="s">
        <v>48</v>
      </c>
      <c r="D22" s="48" t="s">
        <v>215</v>
      </c>
      <c r="E22" s="48" t="s">
        <v>215</v>
      </c>
      <c r="F22" s="48" t="s">
        <v>30</v>
      </c>
      <c r="G22" s="49" t="s">
        <v>49</v>
      </c>
      <c r="H22" s="48" t="s">
        <v>43</v>
      </c>
      <c r="I22" s="51"/>
      <c r="DB22" s="7"/>
    </row>
    <row r="23" spans="1:106" ht="15" thickBot="1" x14ac:dyDescent="0.2">
      <c r="A23" s="16" t="s">
        <v>6</v>
      </c>
      <c r="B23" s="48" t="s">
        <v>48</v>
      </c>
      <c r="C23" s="48" t="s">
        <v>47</v>
      </c>
      <c r="D23" s="48" t="s">
        <v>216</v>
      </c>
      <c r="E23" s="48" t="s">
        <v>216</v>
      </c>
      <c r="F23" s="48" t="s">
        <v>47</v>
      </c>
      <c r="G23" s="49" t="s">
        <v>43</v>
      </c>
      <c r="H23" s="48" t="s">
        <v>39</v>
      </c>
      <c r="I23" s="51"/>
      <c r="DB23" s="7"/>
    </row>
    <row r="24" spans="1:106" ht="15" thickBot="1" x14ac:dyDescent="0.2">
      <c r="A24" s="16" t="s">
        <v>92</v>
      </c>
      <c r="B24" s="48" t="s">
        <v>38</v>
      </c>
      <c r="C24" s="48" t="s">
        <v>30</v>
      </c>
      <c r="D24" s="48" t="s">
        <v>210</v>
      </c>
      <c r="E24" s="48" t="s">
        <v>210</v>
      </c>
      <c r="F24" s="48" t="s">
        <v>128</v>
      </c>
      <c r="G24" s="49" t="s">
        <v>48</v>
      </c>
      <c r="H24" s="48" t="s">
        <v>30</v>
      </c>
      <c r="I24" s="51"/>
      <c r="DB24" s="7"/>
    </row>
    <row r="25" spans="1:106" ht="15" thickBot="1" x14ac:dyDescent="0.2">
      <c r="A25" s="16" t="s">
        <v>7</v>
      </c>
      <c r="B25" s="48" t="s">
        <v>42</v>
      </c>
      <c r="C25" s="48" t="s">
        <v>41</v>
      </c>
      <c r="D25" s="48" t="s">
        <v>210</v>
      </c>
      <c r="E25" s="48" t="s">
        <v>217</v>
      </c>
      <c r="F25" s="48" t="s">
        <v>30</v>
      </c>
      <c r="G25" s="49" t="s">
        <v>30</v>
      </c>
      <c r="H25" s="48" t="s">
        <v>47</v>
      </c>
      <c r="I25" s="51"/>
      <c r="DB25" s="7"/>
    </row>
    <row r="26" spans="1:106" ht="15" thickBot="1" x14ac:dyDescent="0.2">
      <c r="A26" s="16" t="s">
        <v>72</v>
      </c>
      <c r="B26" s="48" t="s">
        <v>131</v>
      </c>
      <c r="C26" s="48" t="s">
        <v>131</v>
      </c>
      <c r="D26" s="48" t="s">
        <v>132</v>
      </c>
      <c r="E26" s="48" t="s">
        <v>131</v>
      </c>
      <c r="F26" s="48" t="s">
        <v>112</v>
      </c>
      <c r="G26" s="49" t="s">
        <v>113</v>
      </c>
      <c r="H26" s="48" t="s">
        <v>112</v>
      </c>
      <c r="I26" s="51"/>
      <c r="DB26" s="7"/>
    </row>
    <row r="27" spans="1:106" ht="15" thickBot="1" x14ac:dyDescent="0.2">
      <c r="A27" s="18" t="s">
        <v>8</v>
      </c>
      <c r="B27" s="50"/>
      <c r="C27" s="50"/>
      <c r="D27" s="50"/>
      <c r="E27" s="50"/>
      <c r="F27" s="50"/>
      <c r="G27" s="50"/>
      <c r="H27" s="50"/>
      <c r="I27" s="51"/>
      <c r="DB27" s="7"/>
    </row>
    <row r="28" spans="1:106" ht="15" thickBot="1" x14ac:dyDescent="0.2">
      <c r="A28" s="16" t="s">
        <v>73</v>
      </c>
      <c r="B28" s="48" t="s">
        <v>38</v>
      </c>
      <c r="C28" s="48" t="s">
        <v>30</v>
      </c>
      <c r="D28" s="48" t="s">
        <v>210</v>
      </c>
      <c r="E28" s="48" t="s">
        <v>219</v>
      </c>
      <c r="F28" s="48" t="s">
        <v>30</v>
      </c>
      <c r="G28" s="49" t="s">
        <v>38</v>
      </c>
      <c r="H28" s="48" t="s">
        <v>30</v>
      </c>
      <c r="I28" s="51"/>
      <c r="DB28" s="7"/>
    </row>
    <row r="29" spans="1:106" ht="15" thickBot="1" x14ac:dyDescent="0.2">
      <c r="A29" s="16" t="s">
        <v>74</v>
      </c>
      <c r="B29" s="48" t="s">
        <v>48</v>
      </c>
      <c r="C29" s="48" t="s">
        <v>39</v>
      </c>
      <c r="D29" s="48" t="s">
        <v>211</v>
      </c>
      <c r="E29" s="48" t="s">
        <v>130</v>
      </c>
      <c r="F29" s="48" t="s">
        <v>30</v>
      </c>
      <c r="G29" s="49" t="s">
        <v>42</v>
      </c>
      <c r="H29" s="48" t="s">
        <v>40</v>
      </c>
      <c r="I29" s="51"/>
      <c r="DB29" s="7"/>
    </row>
    <row r="30" spans="1:106" ht="15" thickBot="1" x14ac:dyDescent="0.2">
      <c r="A30" s="16" t="s">
        <v>75</v>
      </c>
      <c r="B30" s="48" t="s">
        <v>47</v>
      </c>
      <c r="C30" s="48" t="s">
        <v>30</v>
      </c>
      <c r="D30" s="48" t="s">
        <v>212</v>
      </c>
      <c r="E30" s="48" t="s">
        <v>130</v>
      </c>
      <c r="F30" s="48" t="s">
        <v>30</v>
      </c>
      <c r="G30" s="49" t="s">
        <v>40</v>
      </c>
      <c r="H30" s="48" t="s">
        <v>46</v>
      </c>
      <c r="I30" s="51"/>
      <c r="DB30" s="7"/>
    </row>
    <row r="31" spans="1:106" ht="15" thickBot="1" x14ac:dyDescent="0.2">
      <c r="A31" s="16" t="s">
        <v>76</v>
      </c>
      <c r="B31" s="48" t="s">
        <v>43</v>
      </c>
      <c r="C31" s="48" t="s">
        <v>41</v>
      </c>
      <c r="D31" s="48" t="s">
        <v>213</v>
      </c>
      <c r="E31" s="48" t="s">
        <v>220</v>
      </c>
      <c r="F31" s="48" t="s">
        <v>30</v>
      </c>
      <c r="G31" s="49" t="s">
        <v>46</v>
      </c>
      <c r="H31" s="48" t="s">
        <v>30</v>
      </c>
      <c r="I31" s="51"/>
      <c r="DB31" s="7"/>
    </row>
    <row r="32" spans="1:106" ht="15" thickBot="1" x14ac:dyDescent="0.2">
      <c r="A32" s="16" t="s">
        <v>77</v>
      </c>
      <c r="B32" s="48" t="s">
        <v>41</v>
      </c>
      <c r="C32" s="48" t="s">
        <v>30</v>
      </c>
      <c r="D32" s="48" t="s">
        <v>213</v>
      </c>
      <c r="E32" s="48" t="s">
        <v>212</v>
      </c>
      <c r="F32" s="48" t="s">
        <v>30</v>
      </c>
      <c r="G32" s="49" t="s">
        <v>46</v>
      </c>
      <c r="H32" s="48" t="s">
        <v>30</v>
      </c>
      <c r="DB32" s="7"/>
    </row>
    <row r="33" spans="1:106" ht="15" thickBot="1" x14ac:dyDescent="0.2">
      <c r="A33" s="18" t="s">
        <v>104</v>
      </c>
      <c r="B33" s="50"/>
      <c r="C33" s="50"/>
      <c r="D33" s="50"/>
      <c r="E33" s="50"/>
      <c r="F33" s="50"/>
      <c r="G33" s="50"/>
      <c r="H33" s="50"/>
      <c r="DB33" s="7"/>
    </row>
    <row r="34" spans="1:106" ht="15" thickBot="1" x14ac:dyDescent="0.2">
      <c r="A34" s="16" t="s">
        <v>101</v>
      </c>
      <c r="B34" s="48" t="s">
        <v>37</v>
      </c>
      <c r="C34" s="48" t="s">
        <v>30</v>
      </c>
      <c r="D34" s="48" t="s">
        <v>224</v>
      </c>
      <c r="E34" s="48" t="s">
        <v>130</v>
      </c>
      <c r="F34" s="48" t="s">
        <v>30</v>
      </c>
      <c r="G34" s="49" t="s">
        <v>45</v>
      </c>
      <c r="H34" s="48" t="s">
        <v>39</v>
      </c>
      <c r="DB34" s="7"/>
    </row>
    <row r="35" spans="1:106" ht="15" thickBot="1" x14ac:dyDescent="0.2">
      <c r="A35" s="16" t="s">
        <v>78</v>
      </c>
      <c r="B35" s="48" t="s">
        <v>45</v>
      </c>
      <c r="C35" s="48" t="s">
        <v>43</v>
      </c>
      <c r="D35" s="48" t="s">
        <v>224</v>
      </c>
      <c r="E35" s="48" t="s">
        <v>219</v>
      </c>
      <c r="F35" s="48" t="s">
        <v>30</v>
      </c>
      <c r="G35" s="49" t="s">
        <v>48</v>
      </c>
      <c r="H35" s="48" t="s">
        <v>39</v>
      </c>
      <c r="DB35" s="7"/>
    </row>
    <row r="36" spans="1:106" ht="15" thickBot="1" x14ac:dyDescent="0.2">
      <c r="A36" s="16" t="s">
        <v>79</v>
      </c>
      <c r="B36" s="48" t="s">
        <v>38</v>
      </c>
      <c r="C36" s="48" t="s">
        <v>39</v>
      </c>
      <c r="D36" s="48" t="s">
        <v>219</v>
      </c>
      <c r="E36" s="48" t="s">
        <v>219</v>
      </c>
      <c r="F36" s="48" t="s">
        <v>218</v>
      </c>
      <c r="G36" s="49" t="s">
        <v>48</v>
      </c>
      <c r="H36" s="48" t="s">
        <v>39</v>
      </c>
      <c r="DB36" s="7"/>
    </row>
    <row r="37" spans="1:106" ht="15" thickBot="1" x14ac:dyDescent="0.2">
      <c r="A37" s="16" t="s">
        <v>80</v>
      </c>
      <c r="B37" s="48" t="s">
        <v>48</v>
      </c>
      <c r="C37" s="48" t="s">
        <v>43</v>
      </c>
      <c r="D37" s="48" t="s">
        <v>216</v>
      </c>
      <c r="E37" s="48" t="s">
        <v>216</v>
      </c>
      <c r="F37" s="48" t="s">
        <v>30</v>
      </c>
      <c r="G37" s="49" t="s">
        <v>43</v>
      </c>
      <c r="H37" s="48" t="s">
        <v>30</v>
      </c>
      <c r="DB37" s="7"/>
    </row>
    <row r="38" spans="1:106" ht="15" thickBot="1" x14ac:dyDescent="0.2">
      <c r="A38" s="16" t="s">
        <v>81</v>
      </c>
      <c r="B38" s="48" t="s">
        <v>43</v>
      </c>
      <c r="C38" s="48" t="s">
        <v>47</v>
      </c>
      <c r="D38" s="48" t="s">
        <v>211</v>
      </c>
      <c r="E38" s="48" t="s">
        <v>211</v>
      </c>
      <c r="F38" s="48" t="s">
        <v>126</v>
      </c>
      <c r="G38" s="49" t="s">
        <v>43</v>
      </c>
      <c r="H38" s="48" t="s">
        <v>40</v>
      </c>
      <c r="DB38" s="7"/>
    </row>
    <row r="39" spans="1:106" ht="15" thickBot="1" x14ac:dyDescent="0.2">
      <c r="A39" s="16" t="s">
        <v>82</v>
      </c>
      <c r="B39" s="48" t="s">
        <v>39</v>
      </c>
      <c r="C39" s="48" t="s">
        <v>30</v>
      </c>
      <c r="D39" s="48" t="s">
        <v>216</v>
      </c>
      <c r="E39" s="48" t="s">
        <v>211</v>
      </c>
      <c r="F39" s="48" t="s">
        <v>30</v>
      </c>
      <c r="G39" s="49" t="s">
        <v>43</v>
      </c>
      <c r="H39" s="48" t="s">
        <v>47</v>
      </c>
      <c r="DB39" s="7"/>
    </row>
    <row r="40" spans="1:106" ht="15" thickBot="1" x14ac:dyDescent="0.2">
      <c r="A40" s="16" t="s">
        <v>83</v>
      </c>
      <c r="B40" s="48" t="s">
        <v>40</v>
      </c>
      <c r="C40" s="48" t="s">
        <v>41</v>
      </c>
      <c r="D40" s="48" t="s">
        <v>211</v>
      </c>
      <c r="E40" s="48" t="s">
        <v>213</v>
      </c>
      <c r="F40" s="48" t="s">
        <v>30</v>
      </c>
      <c r="G40" s="49" t="s">
        <v>47</v>
      </c>
      <c r="H40" s="48" t="s">
        <v>41</v>
      </c>
      <c r="DB40" s="7"/>
    </row>
    <row r="41" spans="1:106" ht="15" thickBot="1" x14ac:dyDescent="0.2">
      <c r="A41" s="16" t="s">
        <v>225</v>
      </c>
      <c r="B41" s="48" t="s">
        <v>43</v>
      </c>
      <c r="C41" s="48" t="s">
        <v>41</v>
      </c>
      <c r="D41" s="48" t="s">
        <v>130</v>
      </c>
      <c r="E41" s="48" t="s">
        <v>130</v>
      </c>
      <c r="F41" s="48" t="s">
        <v>46</v>
      </c>
      <c r="G41" s="49" t="s">
        <v>47</v>
      </c>
      <c r="H41" s="48" t="s">
        <v>41</v>
      </c>
      <c r="DB41" s="7"/>
    </row>
    <row r="42" spans="1:106" ht="15" thickBot="1" x14ac:dyDescent="0.2">
      <c r="A42" s="16" t="s">
        <v>226</v>
      </c>
      <c r="B42" s="48" t="s">
        <v>47</v>
      </c>
      <c r="C42" s="48" t="s">
        <v>46</v>
      </c>
      <c r="D42" s="48" t="s">
        <v>130</v>
      </c>
      <c r="E42" s="48" t="s">
        <v>130</v>
      </c>
      <c r="F42" s="48" t="s">
        <v>44</v>
      </c>
      <c r="G42" s="49" t="s">
        <v>46</v>
      </c>
      <c r="H42" s="48" t="s">
        <v>41</v>
      </c>
      <c r="DB42" s="7"/>
    </row>
    <row r="43" spans="1:106" ht="15" thickBot="1" x14ac:dyDescent="0.2">
      <c r="A43" s="16" t="s">
        <v>86</v>
      </c>
      <c r="B43" s="48" t="s">
        <v>43</v>
      </c>
      <c r="C43" s="48" t="s">
        <v>30</v>
      </c>
      <c r="D43" s="48" t="s">
        <v>130</v>
      </c>
      <c r="E43" s="48" t="s">
        <v>130</v>
      </c>
      <c r="F43" s="48" t="s">
        <v>130</v>
      </c>
      <c r="G43" s="49" t="s">
        <v>46</v>
      </c>
      <c r="H43" s="48" t="s">
        <v>41</v>
      </c>
      <c r="DB43" s="7"/>
    </row>
    <row r="44" spans="1:106" ht="15" thickBot="1" x14ac:dyDescent="0.2">
      <c r="A44" s="16" t="s">
        <v>87</v>
      </c>
      <c r="B44" s="48" t="s">
        <v>40</v>
      </c>
      <c r="C44" s="48" t="s">
        <v>44</v>
      </c>
      <c r="D44" s="48" t="s">
        <v>213</v>
      </c>
      <c r="E44" s="48" t="s">
        <v>213</v>
      </c>
      <c r="F44" s="48" t="s">
        <v>212</v>
      </c>
      <c r="G44" s="49" t="s">
        <v>46</v>
      </c>
      <c r="H44" s="48" t="s">
        <v>44</v>
      </c>
      <c r="DB44" s="7"/>
    </row>
    <row r="45" spans="1:106" ht="15" thickBot="1" x14ac:dyDescent="0.2">
      <c r="A45" s="16" t="s">
        <v>88</v>
      </c>
      <c r="B45" s="48" t="s">
        <v>40</v>
      </c>
      <c r="C45" s="48" t="s">
        <v>30</v>
      </c>
      <c r="D45" s="48" t="s">
        <v>218</v>
      </c>
      <c r="E45" s="48" t="s">
        <v>218</v>
      </c>
      <c r="F45" s="48" t="s">
        <v>46</v>
      </c>
      <c r="G45" s="49" t="s">
        <v>30</v>
      </c>
      <c r="H45" s="48" t="s">
        <v>46</v>
      </c>
      <c r="DB45" s="7"/>
    </row>
    <row r="46" spans="1:106" ht="15" thickBot="1" x14ac:dyDescent="0.2">
      <c r="A46" s="16" t="s">
        <v>123</v>
      </c>
      <c r="B46" s="48" t="s">
        <v>41</v>
      </c>
      <c r="C46" s="48" t="s">
        <v>30</v>
      </c>
      <c r="D46" s="48" t="s">
        <v>130</v>
      </c>
      <c r="E46" s="48" t="s">
        <v>130</v>
      </c>
      <c r="F46" s="48" t="s">
        <v>130</v>
      </c>
      <c r="G46" s="49" t="s">
        <v>30</v>
      </c>
      <c r="H46" s="48" t="s">
        <v>30</v>
      </c>
      <c r="DB46" s="7"/>
    </row>
    <row r="47" spans="1:106" ht="15" thickBot="1" x14ac:dyDescent="0.2">
      <c r="A47" s="18" t="s">
        <v>105</v>
      </c>
      <c r="B47" s="50"/>
      <c r="C47" s="50"/>
      <c r="D47" s="50"/>
      <c r="E47" s="50"/>
      <c r="F47" s="50"/>
      <c r="G47" s="50"/>
      <c r="H47" s="50"/>
      <c r="DB47" s="7"/>
    </row>
    <row r="48" spans="1:106" ht="15" thickBot="1" x14ac:dyDescent="0.2">
      <c r="A48" s="16" t="s">
        <v>102</v>
      </c>
      <c r="B48" s="48" t="s">
        <v>42</v>
      </c>
      <c r="C48" s="48" t="s">
        <v>30</v>
      </c>
      <c r="D48" s="48" t="s">
        <v>210</v>
      </c>
      <c r="E48" s="48" t="s">
        <v>130</v>
      </c>
      <c r="F48" s="48" t="s">
        <v>30</v>
      </c>
      <c r="G48" s="49" t="s">
        <v>42</v>
      </c>
      <c r="H48" s="48" t="s">
        <v>39</v>
      </c>
      <c r="DB48" s="7"/>
    </row>
    <row r="49" spans="1:106" ht="15" thickBot="1" x14ac:dyDescent="0.2">
      <c r="A49" s="16" t="s">
        <v>13</v>
      </c>
      <c r="B49" s="48" t="s">
        <v>40</v>
      </c>
      <c r="C49" s="48" t="s">
        <v>30</v>
      </c>
      <c r="D49" s="48" t="s">
        <v>212</v>
      </c>
      <c r="E49" s="48" t="s">
        <v>213</v>
      </c>
      <c r="F49" s="48" t="s">
        <v>30</v>
      </c>
      <c r="G49" s="49" t="s">
        <v>47</v>
      </c>
      <c r="H49" s="48" t="s">
        <v>47</v>
      </c>
      <c r="DB49" s="7"/>
    </row>
    <row r="50" spans="1:106" ht="15" thickBot="1" x14ac:dyDescent="0.2">
      <c r="A50" s="18" t="s">
        <v>16</v>
      </c>
      <c r="B50" s="50"/>
      <c r="C50" s="50"/>
      <c r="D50" s="50"/>
      <c r="E50" s="50"/>
      <c r="F50" s="50"/>
      <c r="G50" s="50"/>
      <c r="H50" s="50"/>
      <c r="DB50" s="7"/>
    </row>
    <row r="51" spans="1:106" ht="15" thickBot="1" x14ac:dyDescent="0.2">
      <c r="A51" s="16" t="s">
        <v>18</v>
      </c>
      <c r="B51" s="48" t="s">
        <v>38</v>
      </c>
      <c r="C51" s="48" t="s">
        <v>30</v>
      </c>
      <c r="D51" s="48" t="s">
        <v>130</v>
      </c>
      <c r="E51" s="48" t="s">
        <v>130</v>
      </c>
      <c r="F51" s="48" t="s">
        <v>30</v>
      </c>
      <c r="G51" s="49" t="s">
        <v>30</v>
      </c>
      <c r="H51" s="48" t="s">
        <v>42</v>
      </c>
      <c r="DB51" s="7"/>
    </row>
    <row r="52" spans="1:106" ht="15" thickBot="1" x14ac:dyDescent="0.2">
      <c r="A52" s="16" t="s">
        <v>97</v>
      </c>
      <c r="B52" s="48" t="s">
        <v>43</v>
      </c>
      <c r="C52" s="48" t="s">
        <v>30</v>
      </c>
      <c r="D52" s="48" t="s">
        <v>220</v>
      </c>
      <c r="E52" s="48" t="s">
        <v>220</v>
      </c>
      <c r="F52" s="48" t="s">
        <v>30</v>
      </c>
      <c r="G52" s="49" t="s">
        <v>30</v>
      </c>
      <c r="H52" s="48" t="s">
        <v>47</v>
      </c>
      <c r="DB52" s="7"/>
    </row>
    <row r="53" spans="1:106" ht="15" thickBot="1" x14ac:dyDescent="0.2">
      <c r="A53" s="16" t="s">
        <v>17</v>
      </c>
      <c r="B53" s="48" t="s">
        <v>46</v>
      </c>
      <c r="C53" s="48" t="s">
        <v>46</v>
      </c>
      <c r="D53" s="48" t="s">
        <v>217</v>
      </c>
      <c r="E53" s="48" t="s">
        <v>130</v>
      </c>
      <c r="F53" s="48" t="s">
        <v>30</v>
      </c>
      <c r="G53" s="49" t="s">
        <v>30</v>
      </c>
      <c r="H53" s="48" t="s">
        <v>46</v>
      </c>
      <c r="DB53" s="7"/>
    </row>
    <row r="54" spans="1:106" ht="15" thickBot="1" x14ac:dyDescent="0.2">
      <c r="A54" s="18" t="s">
        <v>19</v>
      </c>
      <c r="B54" s="50"/>
      <c r="C54" s="50"/>
      <c r="D54" s="50"/>
      <c r="E54" s="50"/>
      <c r="F54" s="50"/>
      <c r="G54" s="50"/>
      <c r="H54" s="50"/>
      <c r="DB54" s="7"/>
    </row>
    <row r="55" spans="1:106" ht="15" thickBot="1" x14ac:dyDescent="0.2">
      <c r="A55" s="16" t="s">
        <v>108</v>
      </c>
      <c r="B55" s="48" t="s">
        <v>45</v>
      </c>
      <c r="C55" s="48" t="s">
        <v>39</v>
      </c>
      <c r="D55" s="48" t="s">
        <v>215</v>
      </c>
      <c r="E55" s="48" t="s">
        <v>210</v>
      </c>
      <c r="F55" s="48" t="s">
        <v>30</v>
      </c>
      <c r="G55" s="49" t="s">
        <v>38</v>
      </c>
      <c r="H55" s="48" t="s">
        <v>43</v>
      </c>
      <c r="DB55" s="7"/>
    </row>
    <row r="56" spans="1:106" ht="15" thickBot="1" x14ac:dyDescent="0.2">
      <c r="A56" s="16" t="s">
        <v>20</v>
      </c>
      <c r="B56" s="48" t="s">
        <v>48</v>
      </c>
      <c r="C56" s="48" t="s">
        <v>47</v>
      </c>
      <c r="D56" s="48" t="s">
        <v>216</v>
      </c>
      <c r="E56" s="48" t="s">
        <v>220</v>
      </c>
      <c r="F56" s="48" t="s">
        <v>30</v>
      </c>
      <c r="G56" s="49" t="s">
        <v>39</v>
      </c>
      <c r="H56" s="48" t="s">
        <v>39</v>
      </c>
      <c r="DB56" s="7"/>
    </row>
    <row r="57" spans="1:106" ht="15" thickBot="1" x14ac:dyDescent="0.2">
      <c r="A57" s="16" t="s">
        <v>21</v>
      </c>
      <c r="B57" s="48" t="s">
        <v>43</v>
      </c>
      <c r="C57" s="48" t="s">
        <v>41</v>
      </c>
      <c r="D57" s="48" t="s">
        <v>218</v>
      </c>
      <c r="E57" s="48" t="s">
        <v>218</v>
      </c>
      <c r="F57" s="48" t="s">
        <v>30</v>
      </c>
      <c r="G57" s="49" t="s">
        <v>40</v>
      </c>
      <c r="H57" s="48" t="s">
        <v>41</v>
      </c>
      <c r="DB57" s="7"/>
    </row>
    <row r="58" spans="1:106" ht="15" thickBot="1" x14ac:dyDescent="0.2">
      <c r="A58" s="18" t="s">
        <v>22</v>
      </c>
      <c r="B58" s="50"/>
      <c r="C58" s="50"/>
      <c r="D58" s="50"/>
      <c r="E58" s="50"/>
      <c r="F58" s="50"/>
      <c r="G58" s="50"/>
      <c r="H58" s="50"/>
      <c r="DB58" s="7"/>
    </row>
    <row r="59" spans="1:106" ht="15" thickBot="1" x14ac:dyDescent="0.2">
      <c r="A59" s="16" t="s">
        <v>89</v>
      </c>
      <c r="B59" s="48" t="s">
        <v>49</v>
      </c>
      <c r="C59" s="48" t="s">
        <v>42</v>
      </c>
      <c r="D59" s="48" t="s">
        <v>224</v>
      </c>
      <c r="E59" s="48" t="s">
        <v>219</v>
      </c>
      <c r="F59" s="48" t="s">
        <v>30</v>
      </c>
      <c r="G59" s="49" t="s">
        <v>38</v>
      </c>
      <c r="H59" s="48" t="s">
        <v>30</v>
      </c>
      <c r="DB59" s="7"/>
    </row>
    <row r="60" spans="1:106" ht="15" thickBot="1" x14ac:dyDescent="0.2">
      <c r="A60" s="16" t="s">
        <v>24</v>
      </c>
      <c r="B60" s="48" t="s">
        <v>45</v>
      </c>
      <c r="C60" s="48" t="s">
        <v>39</v>
      </c>
      <c r="D60" s="48" t="s">
        <v>219</v>
      </c>
      <c r="E60" s="48" t="s">
        <v>219</v>
      </c>
      <c r="F60" s="48" t="s">
        <v>30</v>
      </c>
      <c r="G60" s="49" t="s">
        <v>39</v>
      </c>
      <c r="H60" s="48" t="s">
        <v>48</v>
      </c>
      <c r="DB60" s="7"/>
    </row>
    <row r="61" spans="1:106" ht="15" thickBot="1" x14ac:dyDescent="0.2">
      <c r="A61" s="16" t="s">
        <v>29</v>
      </c>
      <c r="B61" s="48" t="s">
        <v>42</v>
      </c>
      <c r="C61" s="48" t="s">
        <v>30</v>
      </c>
      <c r="D61" s="48" t="s">
        <v>219</v>
      </c>
      <c r="E61" s="48" t="s">
        <v>220</v>
      </c>
      <c r="F61" s="48" t="s">
        <v>30</v>
      </c>
      <c r="G61" s="49" t="s">
        <v>39</v>
      </c>
      <c r="H61" s="48" t="s">
        <v>30</v>
      </c>
      <c r="DB61" s="7"/>
    </row>
    <row r="62" spans="1:106" ht="15" thickBot="1" x14ac:dyDescent="0.2">
      <c r="A62" s="16" t="s">
        <v>28</v>
      </c>
      <c r="B62" s="48" t="s">
        <v>48</v>
      </c>
      <c r="C62" s="48" t="s">
        <v>47</v>
      </c>
      <c r="D62" s="48" t="s">
        <v>216</v>
      </c>
      <c r="E62" s="48" t="s">
        <v>220</v>
      </c>
      <c r="F62" s="48" t="s">
        <v>46</v>
      </c>
      <c r="G62" s="49" t="s">
        <v>43</v>
      </c>
      <c r="H62" s="48" t="s">
        <v>47</v>
      </c>
      <c r="DB62" s="7"/>
    </row>
    <row r="63" spans="1:106" ht="15" thickBot="1" x14ac:dyDescent="0.2">
      <c r="A63" s="16" t="s">
        <v>25</v>
      </c>
      <c r="B63" s="48" t="s">
        <v>43</v>
      </c>
      <c r="C63" s="48" t="s">
        <v>41</v>
      </c>
      <c r="D63" s="48" t="s">
        <v>218</v>
      </c>
      <c r="E63" s="48" t="s">
        <v>218</v>
      </c>
      <c r="F63" s="48" t="s">
        <v>44</v>
      </c>
      <c r="G63" s="49" t="s">
        <v>43</v>
      </c>
      <c r="H63" s="48" t="s">
        <v>46</v>
      </c>
      <c r="DB63" s="7"/>
    </row>
    <row r="64" spans="1:106" ht="15" thickBot="1" x14ac:dyDescent="0.2">
      <c r="A64" s="16" t="s">
        <v>27</v>
      </c>
      <c r="B64" s="48" t="s">
        <v>48</v>
      </c>
      <c r="C64" s="48" t="s">
        <v>47</v>
      </c>
      <c r="D64" s="48" t="s">
        <v>216</v>
      </c>
      <c r="E64" s="48" t="s">
        <v>211</v>
      </c>
      <c r="F64" s="48" t="s">
        <v>46</v>
      </c>
      <c r="G64" s="49" t="s">
        <v>47</v>
      </c>
      <c r="H64" s="48" t="s">
        <v>47</v>
      </c>
      <c r="DB64" s="7"/>
    </row>
    <row r="65" spans="1:106" ht="15" thickBot="1" x14ac:dyDescent="0.2">
      <c r="A65" s="16" t="s">
        <v>23</v>
      </c>
      <c r="B65" s="48" t="s">
        <v>43</v>
      </c>
      <c r="C65" s="48" t="s">
        <v>41</v>
      </c>
      <c r="D65" s="48" t="s">
        <v>220</v>
      </c>
      <c r="E65" s="48" t="s">
        <v>218</v>
      </c>
      <c r="F65" s="48" t="s">
        <v>46</v>
      </c>
      <c r="G65" s="49" t="s">
        <v>47</v>
      </c>
      <c r="H65" s="48" t="s">
        <v>46</v>
      </c>
      <c r="DB65" s="7"/>
    </row>
    <row r="66" spans="1:106" ht="15" thickBot="1" x14ac:dyDescent="0.2">
      <c r="A66" s="16" t="s">
        <v>125</v>
      </c>
      <c r="B66" s="48" t="s">
        <v>43</v>
      </c>
      <c r="C66" s="48" t="s">
        <v>30</v>
      </c>
      <c r="D66" s="48" t="s">
        <v>220</v>
      </c>
      <c r="E66" s="48" t="s">
        <v>130</v>
      </c>
      <c r="F66" s="48" t="s">
        <v>30</v>
      </c>
      <c r="G66" s="49" t="s">
        <v>46</v>
      </c>
      <c r="H66" s="48" t="s">
        <v>46</v>
      </c>
      <c r="DB66" s="7"/>
    </row>
    <row r="67" spans="1:106" ht="15" thickBot="1" x14ac:dyDescent="0.2">
      <c r="A67" s="16" t="s">
        <v>90</v>
      </c>
      <c r="B67" s="48" t="s">
        <v>38</v>
      </c>
      <c r="C67" s="48" t="s">
        <v>30</v>
      </c>
      <c r="D67" s="48" t="s">
        <v>130</v>
      </c>
      <c r="E67" s="48" t="s">
        <v>130</v>
      </c>
      <c r="F67" s="48" t="s">
        <v>30</v>
      </c>
      <c r="G67" s="49" t="s">
        <v>39</v>
      </c>
      <c r="H67" s="48" t="s">
        <v>30</v>
      </c>
      <c r="DB67" s="7"/>
    </row>
    <row r="68" spans="1:106" ht="15" thickBot="1" x14ac:dyDescent="0.2">
      <c r="A68" s="16" t="s">
        <v>26</v>
      </c>
      <c r="B68" s="48" t="s">
        <v>40</v>
      </c>
      <c r="C68" s="48" t="s">
        <v>30</v>
      </c>
      <c r="D68" s="48" t="s">
        <v>218</v>
      </c>
      <c r="E68" s="48" t="s">
        <v>130</v>
      </c>
      <c r="F68" s="48" t="s">
        <v>30</v>
      </c>
      <c r="G68" s="49" t="s">
        <v>40</v>
      </c>
      <c r="H68" s="48" t="s">
        <v>43</v>
      </c>
      <c r="DB68" s="7"/>
    </row>
    <row r="69" spans="1:106" ht="15" thickBot="1" x14ac:dyDescent="0.2">
      <c r="A69" s="16" t="s">
        <v>91</v>
      </c>
      <c r="B69" s="48" t="s">
        <v>41</v>
      </c>
      <c r="C69" s="48" t="s">
        <v>30</v>
      </c>
      <c r="D69" s="48" t="s">
        <v>213</v>
      </c>
      <c r="E69" s="48" t="s">
        <v>217</v>
      </c>
      <c r="F69" s="48" t="s">
        <v>30</v>
      </c>
      <c r="G69" s="49" t="s">
        <v>41</v>
      </c>
      <c r="H69" s="48" t="s">
        <v>47</v>
      </c>
      <c r="DB69" s="7"/>
    </row>
    <row r="71" spans="1:106" x14ac:dyDescent="0.15">
      <c r="A71" s="10" t="s">
        <v>67</v>
      </c>
    </row>
    <row r="74" spans="1:106" x14ac:dyDescent="0.15">
      <c r="A74" s="20"/>
      <c r="B74" s="20"/>
    </row>
    <row r="79" spans="1:106" x14ac:dyDescent="0.15">
      <c r="A79" s="20"/>
      <c r="B79" s="20"/>
    </row>
  </sheetData>
  <mergeCells count="5">
    <mergeCell ref="A5:H5"/>
    <mergeCell ref="A6:H6"/>
    <mergeCell ref="A1:A3"/>
    <mergeCell ref="B3:H3"/>
    <mergeCell ref="B1:H2"/>
  </mergeCells>
  <phoneticPr fontId="54" type="noConversion"/>
  <pageMargins left="0.7" right="0.7" top="0.75" bottom="0.75" header="0.3" footer="0.3"/>
  <pageSetup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DB117"/>
  <sheetViews>
    <sheetView workbookViewId="0">
      <selection activeCell="F137" sqref="A1:F137"/>
    </sheetView>
  </sheetViews>
  <sheetFormatPr baseColWidth="10" defaultColWidth="20.5" defaultRowHeight="15" x14ac:dyDescent="0.2"/>
  <cols>
    <col min="1" max="1" width="72.33203125" style="130" customWidth="1"/>
    <col min="2" max="6" width="19.83203125" style="130" customWidth="1"/>
  </cols>
  <sheetData>
    <row r="1" spans="1:106" s="4" customFormat="1" ht="35.5" customHeight="1" x14ac:dyDescent="0.15">
      <c r="A1" s="143"/>
      <c r="B1" s="144" t="s">
        <v>207</v>
      </c>
      <c r="C1" s="144"/>
      <c r="D1" s="144"/>
      <c r="E1" s="144"/>
      <c r="F1" s="144"/>
      <c r="G1" s="190"/>
      <c r="H1" s="190"/>
      <c r="I1" s="190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</row>
    <row r="2" spans="1:106" s="4" customFormat="1" ht="13.25" customHeight="1" x14ac:dyDescent="0.15">
      <c r="A2" s="143"/>
      <c r="B2" s="144"/>
      <c r="C2" s="144"/>
      <c r="D2" s="144"/>
      <c r="E2" s="144"/>
      <c r="F2" s="144"/>
      <c r="G2" s="190"/>
      <c r="H2" s="190"/>
      <c r="I2" s="190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</row>
    <row r="3" spans="1:106" s="4" customFormat="1" ht="34" customHeight="1" x14ac:dyDescent="0.15">
      <c r="A3" s="143"/>
      <c r="B3" s="145" t="s">
        <v>337</v>
      </c>
      <c r="C3" s="187"/>
      <c r="D3" s="187"/>
      <c r="E3" s="187"/>
      <c r="F3" s="187"/>
      <c r="G3" s="186"/>
      <c r="H3" s="186"/>
      <c r="I3" s="186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</row>
    <row r="4" spans="1:106" s="6" customFormat="1" ht="14" x14ac:dyDescent="0.15">
      <c r="A4" s="192"/>
      <c r="B4" s="192"/>
      <c r="C4" s="192"/>
      <c r="D4" s="192"/>
      <c r="E4" s="192"/>
      <c r="F4" s="192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</row>
    <row r="5" spans="1:106" s="9" customFormat="1" ht="30" customHeight="1" x14ac:dyDescent="0.15">
      <c r="A5" s="155" t="s">
        <v>305</v>
      </c>
      <c r="B5" s="155"/>
      <c r="C5" s="155"/>
      <c r="D5" s="155"/>
      <c r="E5" s="155"/>
      <c r="F5" s="155"/>
      <c r="G5" s="191"/>
      <c r="H5" s="191"/>
      <c r="I5" s="191"/>
      <c r="J5" s="44"/>
      <c r="K5" s="44"/>
      <c r="L5" s="44"/>
      <c r="M5" s="4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</row>
    <row r="6" spans="1:106" s="9" customFormat="1" ht="21" customHeight="1" x14ac:dyDescent="0.15">
      <c r="A6" s="193" t="s">
        <v>338</v>
      </c>
      <c r="B6" s="193"/>
      <c r="C6" s="193"/>
      <c r="D6" s="193"/>
      <c r="E6" s="193"/>
      <c r="F6" s="193"/>
      <c r="G6" s="46"/>
      <c r="H6" s="46"/>
      <c r="I6" s="46"/>
      <c r="J6" s="45"/>
      <c r="K6" s="45"/>
      <c r="L6" s="45"/>
      <c r="M6" s="4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</row>
    <row r="8" spans="1:106" ht="18" x14ac:dyDescent="0.2">
      <c r="A8" s="177" t="s">
        <v>332</v>
      </c>
      <c r="B8" s="177"/>
      <c r="C8" s="177"/>
      <c r="D8" s="177"/>
      <c r="E8" s="177"/>
      <c r="F8" s="177"/>
    </row>
    <row r="10" spans="1:106" ht="29" thickBot="1" x14ac:dyDescent="0.25">
      <c r="A10" s="127" t="s">
        <v>306</v>
      </c>
      <c r="B10" s="127" t="s">
        <v>233</v>
      </c>
      <c r="C10" s="127" t="s">
        <v>234</v>
      </c>
      <c r="D10" s="127" t="s">
        <v>235</v>
      </c>
      <c r="E10" s="127" t="s">
        <v>236</v>
      </c>
      <c r="F10" s="127" t="s">
        <v>237</v>
      </c>
      <c r="G10" s="180"/>
      <c r="I10" s="178"/>
    </row>
    <row r="11" spans="1:106" ht="16" thickBot="1" x14ac:dyDescent="0.25">
      <c r="A11" s="175" t="s">
        <v>227</v>
      </c>
      <c r="B11" s="173">
        <f>16/77</f>
        <v>0.20779220779220781</v>
      </c>
      <c r="C11" s="173">
        <f>12/52</f>
        <v>0.23076923076923078</v>
      </c>
      <c r="D11" s="173">
        <f>1/6</f>
        <v>0.16666666666666666</v>
      </c>
      <c r="E11" s="173">
        <f>1/12</f>
        <v>8.3333333333333329E-2</v>
      </c>
      <c r="F11" s="173">
        <f>2/7</f>
        <v>0.2857142857142857</v>
      </c>
      <c r="G11" s="183"/>
      <c r="I11" s="179"/>
    </row>
    <row r="12" spans="1:106" ht="16" thickBot="1" x14ac:dyDescent="0.25">
      <c r="A12" s="175" t="s">
        <v>231</v>
      </c>
      <c r="B12" s="173">
        <f>33/77</f>
        <v>0.42857142857142855</v>
      </c>
      <c r="C12" s="173">
        <f>18/52</f>
        <v>0.34615384615384615</v>
      </c>
      <c r="D12" s="173">
        <f>3/6</f>
        <v>0.5</v>
      </c>
      <c r="E12" s="173">
        <f>9/12</f>
        <v>0.75</v>
      </c>
      <c r="F12" s="173">
        <f>3/7</f>
        <v>0.42857142857142855</v>
      </c>
      <c r="G12" s="183"/>
      <c r="I12" s="179"/>
    </row>
    <row r="13" spans="1:106" ht="16" thickBot="1" x14ac:dyDescent="0.25">
      <c r="A13" s="175" t="s">
        <v>232</v>
      </c>
      <c r="B13" s="173">
        <f>28/77</f>
        <v>0.36363636363636365</v>
      </c>
      <c r="C13" s="173">
        <f>22/52</f>
        <v>0.42307692307692307</v>
      </c>
      <c r="D13" s="173">
        <f>2/6</f>
        <v>0.33333333333333331</v>
      </c>
      <c r="E13" s="173">
        <f>2/12</f>
        <v>0.16666666666666666</v>
      </c>
      <c r="F13" s="173">
        <f>2/7</f>
        <v>0.2857142857142857</v>
      </c>
      <c r="G13" s="183"/>
      <c r="I13" s="179"/>
    </row>
    <row r="14" spans="1:106" ht="16" thickBot="1" x14ac:dyDescent="0.25">
      <c r="A14" s="175" t="s">
        <v>138</v>
      </c>
      <c r="B14" s="173">
        <f t="shared" ref="B14:F14" si="0">SUM(B11:B13)</f>
        <v>1</v>
      </c>
      <c r="C14" s="173">
        <f t="shared" si="0"/>
        <v>1</v>
      </c>
      <c r="D14" s="173">
        <f t="shared" si="0"/>
        <v>1</v>
      </c>
      <c r="E14" s="173">
        <f t="shared" si="0"/>
        <v>1</v>
      </c>
      <c r="F14" s="173">
        <f t="shared" si="0"/>
        <v>0.99999999999999989</v>
      </c>
      <c r="G14" s="183"/>
      <c r="I14" s="179"/>
    </row>
    <row r="15" spans="1:106" x14ac:dyDescent="0.2">
      <c r="A15" s="174"/>
      <c r="G15" s="183"/>
      <c r="I15" s="181"/>
    </row>
    <row r="16" spans="1:106" ht="24" customHeight="1" thickBot="1" x14ac:dyDescent="0.25">
      <c r="A16" s="127" t="s">
        <v>315</v>
      </c>
      <c r="B16" s="127" t="s">
        <v>316</v>
      </c>
      <c r="C16" s="127" t="s">
        <v>317</v>
      </c>
      <c r="D16" s="127" t="s">
        <v>318</v>
      </c>
      <c r="E16" s="127" t="s">
        <v>319</v>
      </c>
      <c r="F16" s="127" t="s">
        <v>320</v>
      </c>
      <c r="G16" s="180"/>
      <c r="I16" s="178"/>
    </row>
    <row r="17" spans="1:9" ht="16" thickBot="1" x14ac:dyDescent="0.25">
      <c r="A17" s="175" t="s">
        <v>228</v>
      </c>
      <c r="B17" s="173">
        <f>40/61</f>
        <v>0.65573770491803274</v>
      </c>
      <c r="C17" s="173">
        <f>29/40</f>
        <v>0.72499999999999998</v>
      </c>
      <c r="D17" s="173">
        <f>1/5</f>
        <v>0.2</v>
      </c>
      <c r="E17" s="173">
        <f>9/11</f>
        <v>0.81818181818181823</v>
      </c>
      <c r="F17" s="173">
        <f>1/5</f>
        <v>0.2</v>
      </c>
      <c r="G17" s="183"/>
      <c r="I17" s="179"/>
    </row>
    <row r="18" spans="1:9" ht="16" thickBot="1" x14ac:dyDescent="0.25">
      <c r="A18" s="175" t="s">
        <v>229</v>
      </c>
      <c r="B18" s="173">
        <f>12/61</f>
        <v>0.19672131147540983</v>
      </c>
      <c r="C18" s="173">
        <f>6/40</f>
        <v>0.15</v>
      </c>
      <c r="D18" s="173">
        <f>3/5</f>
        <v>0.6</v>
      </c>
      <c r="E18" s="173"/>
      <c r="F18" s="173">
        <f>3/5</f>
        <v>0.6</v>
      </c>
      <c r="G18" s="183"/>
      <c r="I18" s="179"/>
    </row>
    <row r="19" spans="1:9" ht="16" thickBot="1" x14ac:dyDescent="0.25">
      <c r="A19" s="175" t="s">
        <v>230</v>
      </c>
      <c r="B19" s="173">
        <f>4/61</f>
        <v>6.5573770491803282E-2</v>
      </c>
      <c r="C19" s="173">
        <f>3/40</f>
        <v>7.4999999999999997E-2</v>
      </c>
      <c r="D19" s="173">
        <f>1/5</f>
        <v>0.2</v>
      </c>
      <c r="E19" s="173"/>
      <c r="F19" s="173"/>
      <c r="G19" s="183"/>
      <c r="I19" s="179"/>
    </row>
    <row r="20" spans="1:9" ht="16" thickBot="1" x14ac:dyDescent="0.25">
      <c r="A20" s="175" t="s">
        <v>144</v>
      </c>
      <c r="B20" s="173">
        <f>5/61</f>
        <v>8.1967213114754092E-2</v>
      </c>
      <c r="C20" s="173">
        <f>2/40</f>
        <v>0.05</v>
      </c>
      <c r="D20" s="173"/>
      <c r="E20" s="173">
        <f>2/11</f>
        <v>0.18181818181818182</v>
      </c>
      <c r="F20" s="173">
        <f>1/5</f>
        <v>0.2</v>
      </c>
      <c r="G20" s="183"/>
      <c r="I20" s="179"/>
    </row>
    <row r="21" spans="1:9" ht="16" thickBot="1" x14ac:dyDescent="0.25">
      <c r="A21" s="175" t="s">
        <v>138</v>
      </c>
      <c r="B21" s="173">
        <f>SUM(B17:B20)</f>
        <v>0.99999999999999989</v>
      </c>
      <c r="C21" s="173">
        <f>SUM(C17:C20)</f>
        <v>1</v>
      </c>
      <c r="D21" s="173">
        <f>SUM(D17:D20)</f>
        <v>1</v>
      </c>
      <c r="E21" s="173">
        <f>SUM(E17:E20)</f>
        <v>1</v>
      </c>
      <c r="F21" s="173">
        <f>SUM(F17:F20)</f>
        <v>1</v>
      </c>
      <c r="G21" s="183"/>
      <c r="I21" s="179"/>
    </row>
    <row r="22" spans="1:9" x14ac:dyDescent="0.2">
      <c r="A22" s="174"/>
      <c r="G22" s="183"/>
      <c r="I22" s="181"/>
    </row>
    <row r="23" spans="1:9" ht="24" customHeight="1" thickBot="1" x14ac:dyDescent="0.25">
      <c r="A23" s="127" t="s">
        <v>314</v>
      </c>
      <c r="B23" s="127" t="s">
        <v>316</v>
      </c>
      <c r="C23" s="127" t="s">
        <v>317</v>
      </c>
      <c r="D23" s="127" t="s">
        <v>318</v>
      </c>
      <c r="E23" s="127" t="s">
        <v>319</v>
      </c>
      <c r="F23" s="127" t="s">
        <v>320</v>
      </c>
      <c r="G23" s="180"/>
      <c r="I23" s="178"/>
    </row>
    <row r="24" spans="1:9" ht="16" thickBot="1" x14ac:dyDescent="0.25">
      <c r="A24" s="175" t="s">
        <v>238</v>
      </c>
      <c r="B24" s="173">
        <f>6/61</f>
        <v>9.8360655737704916E-2</v>
      </c>
      <c r="C24" s="173">
        <f>5/40</f>
        <v>0.125</v>
      </c>
      <c r="D24" s="173"/>
      <c r="E24" s="173">
        <f>1/11</f>
        <v>9.0909090909090912E-2</v>
      </c>
      <c r="F24" s="173"/>
      <c r="G24" s="183"/>
      <c r="I24" s="179"/>
    </row>
    <row r="25" spans="1:9" ht="16" thickBot="1" x14ac:dyDescent="0.25">
      <c r="A25" s="175" t="s">
        <v>239</v>
      </c>
      <c r="B25" s="173">
        <f>8/61</f>
        <v>0.13114754098360656</v>
      </c>
      <c r="C25" s="173">
        <f>2/40</f>
        <v>0.05</v>
      </c>
      <c r="D25" s="173">
        <f>3/5</f>
        <v>0.6</v>
      </c>
      <c r="E25" s="173">
        <f>2/11</f>
        <v>0.18181818181818182</v>
      </c>
      <c r="F25" s="173">
        <f>1/5</f>
        <v>0.2</v>
      </c>
      <c r="G25" s="183"/>
      <c r="I25" s="179"/>
    </row>
    <row r="26" spans="1:9" ht="16" thickBot="1" x14ac:dyDescent="0.25">
      <c r="A26" s="175" t="s">
        <v>240</v>
      </c>
      <c r="B26" s="173">
        <f>27/61</f>
        <v>0.44262295081967212</v>
      </c>
      <c r="C26" s="173">
        <f>21/40</f>
        <v>0.52500000000000002</v>
      </c>
      <c r="D26" s="173">
        <f>1/5</f>
        <v>0.2</v>
      </c>
      <c r="E26" s="173">
        <f>4/11</f>
        <v>0.36363636363636365</v>
      </c>
      <c r="F26" s="173">
        <f>1/5</f>
        <v>0.2</v>
      </c>
      <c r="G26" s="183"/>
      <c r="I26" s="179"/>
    </row>
    <row r="27" spans="1:9" ht="16" thickBot="1" x14ac:dyDescent="0.25">
      <c r="A27" s="175" t="s">
        <v>241</v>
      </c>
      <c r="B27" s="173">
        <f>4/61</f>
        <v>6.5573770491803282E-2</v>
      </c>
      <c r="C27" s="173"/>
      <c r="D27" s="173"/>
      <c r="E27" s="173">
        <f>2/11</f>
        <v>0.18181818181818182</v>
      </c>
      <c r="F27" s="173">
        <f>2/5</f>
        <v>0.4</v>
      </c>
      <c r="G27" s="183"/>
      <c r="I27" s="179"/>
    </row>
    <row r="28" spans="1:9" ht="16" thickBot="1" x14ac:dyDescent="0.25">
      <c r="A28" s="175" t="s">
        <v>242</v>
      </c>
      <c r="B28" s="173">
        <f>3/61</f>
        <v>4.9180327868852458E-2</v>
      </c>
      <c r="C28" s="173">
        <f>2/40</f>
        <v>0.05</v>
      </c>
      <c r="D28" s="173">
        <f>1/5</f>
        <v>0.2</v>
      </c>
      <c r="E28" s="173"/>
      <c r="F28" s="173"/>
      <c r="G28" s="180"/>
      <c r="I28" s="179"/>
    </row>
    <row r="29" spans="1:9" ht="16" thickBot="1" x14ac:dyDescent="0.25">
      <c r="A29" s="175" t="s">
        <v>243</v>
      </c>
      <c r="B29" s="173">
        <f>9/61</f>
        <v>0.14754098360655737</v>
      </c>
      <c r="C29" s="173">
        <f>8/40</f>
        <v>0.2</v>
      </c>
      <c r="D29" s="173"/>
      <c r="E29" s="173">
        <f>1/11</f>
        <v>9.0909090909090912E-2</v>
      </c>
      <c r="F29" s="173"/>
      <c r="G29" s="183"/>
      <c r="I29" s="179"/>
    </row>
    <row r="30" spans="1:9" ht="16" thickBot="1" x14ac:dyDescent="0.25">
      <c r="A30" s="175" t="s">
        <v>144</v>
      </c>
      <c r="B30" s="173">
        <f>4/61</f>
        <v>6.5573770491803282E-2</v>
      </c>
      <c r="C30" s="173">
        <f>2/40</f>
        <v>0.05</v>
      </c>
      <c r="D30" s="173"/>
      <c r="E30" s="173">
        <f>1/11</f>
        <v>9.0909090909090912E-2</v>
      </c>
      <c r="F30" s="173">
        <f>1/5</f>
        <v>0.2</v>
      </c>
      <c r="G30" s="183"/>
      <c r="I30" s="179"/>
    </row>
    <row r="31" spans="1:9" ht="16" thickBot="1" x14ac:dyDescent="0.25">
      <c r="A31" s="175" t="s">
        <v>138</v>
      </c>
      <c r="B31" s="173">
        <f>SUM(B24:B30)</f>
        <v>0.99999999999999989</v>
      </c>
      <c r="C31" s="173">
        <f>SUM(C24:C30)</f>
        <v>1</v>
      </c>
      <c r="D31" s="173">
        <f>SUM(D24:D30)</f>
        <v>1</v>
      </c>
      <c r="E31" s="173">
        <f>SUM(E24:E30)</f>
        <v>1</v>
      </c>
      <c r="F31" s="173">
        <f>SUM(F24:F30)</f>
        <v>1</v>
      </c>
      <c r="G31" s="183"/>
      <c r="I31" s="179"/>
    </row>
    <row r="32" spans="1:9" x14ac:dyDescent="0.2">
      <c r="A32" s="174"/>
      <c r="G32" s="183"/>
      <c r="I32" s="181"/>
    </row>
    <row r="33" spans="1:9" ht="24" customHeight="1" thickBot="1" x14ac:dyDescent="0.25">
      <c r="A33" s="127" t="s">
        <v>313</v>
      </c>
      <c r="B33" s="127" t="s">
        <v>316</v>
      </c>
      <c r="C33" s="127" t="s">
        <v>317</v>
      </c>
      <c r="D33" s="127" t="s">
        <v>318</v>
      </c>
      <c r="E33" s="127" t="s">
        <v>319</v>
      </c>
      <c r="F33" s="127" t="s">
        <v>320</v>
      </c>
      <c r="G33" s="180"/>
      <c r="I33" s="178"/>
    </row>
    <row r="34" spans="1:9" ht="16" thickBot="1" x14ac:dyDescent="0.25">
      <c r="A34" s="175" t="s">
        <v>244</v>
      </c>
      <c r="B34" s="173">
        <f>2/61</f>
        <v>3.2786885245901641E-2</v>
      </c>
      <c r="C34" s="173">
        <f>2/40</f>
        <v>0.05</v>
      </c>
      <c r="D34" s="173"/>
      <c r="E34" s="173"/>
      <c r="F34" s="173">
        <v>0</v>
      </c>
      <c r="G34" s="183"/>
      <c r="I34" s="179"/>
    </row>
    <row r="35" spans="1:9" ht="16" thickBot="1" x14ac:dyDescent="0.25">
      <c r="A35" s="175" t="s">
        <v>245</v>
      </c>
      <c r="B35" s="173">
        <f>3/61</f>
        <v>4.9180327868852458E-2</v>
      </c>
      <c r="C35" s="173">
        <f>2/40</f>
        <v>0.05</v>
      </c>
      <c r="D35" s="173"/>
      <c r="E35" s="173">
        <f>1/11</f>
        <v>9.0909090909090912E-2</v>
      </c>
      <c r="F35" s="173">
        <v>0</v>
      </c>
      <c r="G35" s="183"/>
      <c r="I35" s="179"/>
    </row>
    <row r="36" spans="1:9" ht="16" thickBot="1" x14ac:dyDescent="0.25">
      <c r="A36" s="175" t="s">
        <v>246</v>
      </c>
      <c r="B36" s="173">
        <f>21/61</f>
        <v>0.34426229508196721</v>
      </c>
      <c r="C36" s="173">
        <f>12/40</f>
        <v>0.3</v>
      </c>
      <c r="D36" s="173">
        <f>5/5</f>
        <v>1</v>
      </c>
      <c r="E36" s="173">
        <f>2/11</f>
        <v>0.18181818181818182</v>
      </c>
      <c r="F36" s="173">
        <f>2/5</f>
        <v>0.4</v>
      </c>
      <c r="G36" s="183"/>
      <c r="I36" s="179"/>
    </row>
    <row r="37" spans="1:9" ht="16" thickBot="1" x14ac:dyDescent="0.25">
      <c r="A37" s="175" t="s">
        <v>247</v>
      </c>
      <c r="B37" s="173">
        <f>26/61</f>
        <v>0.42622950819672129</v>
      </c>
      <c r="C37" s="173">
        <f>19/40</f>
        <v>0.47499999999999998</v>
      </c>
      <c r="D37" s="173"/>
      <c r="E37" s="173">
        <f>5/11</f>
        <v>0.45454545454545453</v>
      </c>
      <c r="F37" s="173">
        <f>2/5</f>
        <v>0.4</v>
      </c>
      <c r="G37" s="183"/>
      <c r="I37" s="179"/>
    </row>
    <row r="38" spans="1:9" ht="16" thickBot="1" x14ac:dyDescent="0.25">
      <c r="A38" s="175" t="s">
        <v>248</v>
      </c>
      <c r="B38" s="173">
        <f>9/61</f>
        <v>0.14754098360655737</v>
      </c>
      <c r="C38" s="173">
        <f>5/40</f>
        <v>0.125</v>
      </c>
      <c r="D38" s="173"/>
      <c r="E38" s="173">
        <f>3/11</f>
        <v>0.27272727272727271</v>
      </c>
      <c r="F38" s="173">
        <f>1/5</f>
        <v>0.2</v>
      </c>
      <c r="G38" s="183"/>
      <c r="I38" s="179"/>
    </row>
    <row r="39" spans="1:9" ht="16" thickBot="1" x14ac:dyDescent="0.25">
      <c r="A39" s="175" t="s">
        <v>138</v>
      </c>
      <c r="B39" s="173">
        <f>SUM(B34:B38)</f>
        <v>1</v>
      </c>
      <c r="C39" s="173">
        <f>SUM(C34:C38)</f>
        <v>1</v>
      </c>
      <c r="D39" s="173">
        <f>SUM(D34:D38)</f>
        <v>1</v>
      </c>
      <c r="E39" s="173">
        <f>SUM(E34:E38)</f>
        <v>1</v>
      </c>
      <c r="F39" s="173">
        <f>SUM(F34:F38)</f>
        <v>1</v>
      </c>
      <c r="G39" s="183"/>
      <c r="I39" s="179"/>
    </row>
    <row r="40" spans="1:9" x14ac:dyDescent="0.2">
      <c r="A40" s="174"/>
      <c r="G40" s="183"/>
      <c r="I40" s="181"/>
    </row>
    <row r="41" spans="1:9" ht="29" thickBot="1" x14ac:dyDescent="0.25">
      <c r="A41" s="127" t="s">
        <v>312</v>
      </c>
      <c r="B41" s="127" t="s">
        <v>316</v>
      </c>
      <c r="C41" s="127" t="s">
        <v>317</v>
      </c>
      <c r="D41" s="127" t="s">
        <v>318</v>
      </c>
      <c r="E41" s="127" t="s">
        <v>319</v>
      </c>
      <c r="F41" s="127" t="s">
        <v>320</v>
      </c>
      <c r="G41" s="180"/>
      <c r="I41" s="178"/>
    </row>
    <row r="42" spans="1:9" ht="16" thickBot="1" x14ac:dyDescent="0.25">
      <c r="A42" s="175" t="s">
        <v>249</v>
      </c>
      <c r="B42" s="173">
        <f>16/61</f>
        <v>0.26229508196721313</v>
      </c>
      <c r="C42" s="173">
        <f>7/40</f>
        <v>0.17499999999999999</v>
      </c>
      <c r="D42" s="173">
        <f>2/5</f>
        <v>0.4</v>
      </c>
      <c r="E42" s="173">
        <f>5/11</f>
        <v>0.45454545454545453</v>
      </c>
      <c r="F42" s="173">
        <f>2/5</f>
        <v>0.4</v>
      </c>
      <c r="G42" s="183"/>
      <c r="I42" s="179"/>
    </row>
    <row r="43" spans="1:9" ht="16" thickBot="1" x14ac:dyDescent="0.25">
      <c r="A43" s="175" t="s">
        <v>250</v>
      </c>
      <c r="B43" s="173">
        <f>15/61</f>
        <v>0.24590163934426229</v>
      </c>
      <c r="C43" s="173">
        <f>10/40</f>
        <v>0.25</v>
      </c>
      <c r="D43" s="173">
        <f>2/5</f>
        <v>0.4</v>
      </c>
      <c r="E43" s="173">
        <f>2/11</f>
        <v>0.18181818181818182</v>
      </c>
      <c r="F43" s="173">
        <f>1/5</f>
        <v>0.2</v>
      </c>
      <c r="G43" s="183"/>
      <c r="I43" s="179"/>
    </row>
    <row r="44" spans="1:9" ht="16" thickBot="1" x14ac:dyDescent="0.25">
      <c r="A44" s="175" t="s">
        <v>251</v>
      </c>
      <c r="B44" s="173">
        <f>16/61</f>
        <v>0.26229508196721313</v>
      </c>
      <c r="C44" s="173">
        <f>12/40</f>
        <v>0.3</v>
      </c>
      <c r="D44" s="173">
        <v>0</v>
      </c>
      <c r="E44" s="173">
        <f>3/11</f>
        <v>0.27272727272727271</v>
      </c>
      <c r="F44" s="173">
        <f>1/5</f>
        <v>0.2</v>
      </c>
      <c r="G44" s="183"/>
      <c r="I44" s="179"/>
    </row>
    <row r="45" spans="1:9" ht="16" thickBot="1" x14ac:dyDescent="0.25">
      <c r="A45" s="175" t="s">
        <v>252</v>
      </c>
      <c r="B45" s="173">
        <f>10/61</f>
        <v>0.16393442622950818</v>
      </c>
      <c r="C45" s="173">
        <f>8/40</f>
        <v>0.2</v>
      </c>
      <c r="D45" s="173">
        <f>1/5</f>
        <v>0.2</v>
      </c>
      <c r="E45" s="173">
        <v>0</v>
      </c>
      <c r="F45" s="173">
        <f>1/5</f>
        <v>0.2</v>
      </c>
      <c r="G45" s="183"/>
      <c r="I45" s="179"/>
    </row>
    <row r="46" spans="1:9" ht="16" thickBot="1" x14ac:dyDescent="0.25">
      <c r="A46" s="175" t="s">
        <v>253</v>
      </c>
      <c r="B46" s="173">
        <f>4/61</f>
        <v>6.5573770491803282E-2</v>
      </c>
      <c r="C46" s="173">
        <f>3/40</f>
        <v>7.4999999999999997E-2</v>
      </c>
      <c r="D46" s="173">
        <v>0</v>
      </c>
      <c r="E46" s="173">
        <f>1/11</f>
        <v>9.0909090909090912E-2</v>
      </c>
      <c r="F46" s="173">
        <v>0</v>
      </c>
      <c r="G46" s="183"/>
      <c r="I46" s="179"/>
    </row>
    <row r="47" spans="1:9" ht="16" thickBot="1" x14ac:dyDescent="0.25">
      <c r="A47" s="175" t="s">
        <v>138</v>
      </c>
      <c r="B47" s="173">
        <f>SUM(B42:B46)</f>
        <v>0.99999999999999989</v>
      </c>
      <c r="C47" s="173">
        <f>SUM(C42:C46)</f>
        <v>1</v>
      </c>
      <c r="D47" s="173">
        <f>SUM(D42:D46)</f>
        <v>1</v>
      </c>
      <c r="E47" s="173">
        <f>SUM(E42:E46)</f>
        <v>1</v>
      </c>
      <c r="F47" s="173">
        <f>SUM(F42:F46)</f>
        <v>1</v>
      </c>
      <c r="G47" s="183"/>
      <c r="I47" s="179"/>
    </row>
    <row r="48" spans="1:9" x14ac:dyDescent="0.2">
      <c r="A48" s="174"/>
      <c r="G48" s="183"/>
      <c r="I48" s="181"/>
    </row>
    <row r="49" spans="1:9" ht="24" customHeight="1" thickBot="1" x14ac:dyDescent="0.25">
      <c r="A49" s="127" t="s">
        <v>311</v>
      </c>
      <c r="B49" s="127" t="s">
        <v>316</v>
      </c>
      <c r="C49" s="127" t="s">
        <v>317</v>
      </c>
      <c r="D49" s="127" t="s">
        <v>318</v>
      </c>
      <c r="E49" s="127" t="s">
        <v>319</v>
      </c>
      <c r="F49" s="127" t="s">
        <v>320</v>
      </c>
      <c r="G49" s="180"/>
      <c r="I49" s="178"/>
    </row>
    <row r="50" spans="1:9" ht="16" thickBot="1" x14ac:dyDescent="0.25">
      <c r="A50" s="175" t="s">
        <v>249</v>
      </c>
      <c r="B50" s="173">
        <f>23/61</f>
        <v>0.37704918032786883</v>
      </c>
      <c r="C50" s="173">
        <f>13/40</f>
        <v>0.32500000000000001</v>
      </c>
      <c r="D50" s="173">
        <f>3/5</f>
        <v>0.6</v>
      </c>
      <c r="E50" s="173">
        <f>5/11</f>
        <v>0.45454545454545453</v>
      </c>
      <c r="F50" s="173">
        <f>2/5</f>
        <v>0.4</v>
      </c>
      <c r="G50" s="183"/>
      <c r="I50" s="179"/>
    </row>
    <row r="51" spans="1:9" ht="16" thickBot="1" x14ac:dyDescent="0.25">
      <c r="A51" s="175" t="s">
        <v>250</v>
      </c>
      <c r="B51" s="173">
        <f>29/61</f>
        <v>0.47540983606557374</v>
      </c>
      <c r="C51" s="173">
        <f>24/40</f>
        <v>0.6</v>
      </c>
      <c r="D51" s="173">
        <v>0</v>
      </c>
      <c r="E51" s="173">
        <f>4/11</f>
        <v>0.36363636363636365</v>
      </c>
      <c r="F51" s="173">
        <f>1/5</f>
        <v>0.2</v>
      </c>
      <c r="G51" s="183"/>
      <c r="I51" s="179"/>
    </row>
    <row r="52" spans="1:9" ht="16" thickBot="1" x14ac:dyDescent="0.25">
      <c r="A52" s="175" t="s">
        <v>251</v>
      </c>
      <c r="B52" s="173">
        <f>4/61</f>
        <v>6.5573770491803282E-2</v>
      </c>
      <c r="C52" s="173">
        <f>2/40</f>
        <v>0.05</v>
      </c>
      <c r="D52" s="173">
        <f>2/5</f>
        <v>0.4</v>
      </c>
      <c r="E52" s="173">
        <v>0</v>
      </c>
      <c r="F52" s="173">
        <v>0</v>
      </c>
      <c r="G52" s="183"/>
      <c r="I52" s="179"/>
    </row>
    <row r="53" spans="1:9" ht="16" thickBot="1" x14ac:dyDescent="0.25">
      <c r="A53" s="175" t="s">
        <v>252</v>
      </c>
      <c r="B53" s="173">
        <f>4/61</f>
        <v>6.5573770491803282E-2</v>
      </c>
      <c r="C53" s="173">
        <f>1/40</f>
        <v>2.5000000000000001E-2</v>
      </c>
      <c r="D53" s="173">
        <v>0</v>
      </c>
      <c r="E53" s="173">
        <f>1/11</f>
        <v>9.0909090909090912E-2</v>
      </c>
      <c r="F53" s="173">
        <f>2/5</f>
        <v>0.4</v>
      </c>
      <c r="G53" s="183"/>
      <c r="I53" s="179"/>
    </row>
    <row r="54" spans="1:9" ht="16" thickBot="1" x14ac:dyDescent="0.25">
      <c r="A54" s="175" t="s">
        <v>253</v>
      </c>
      <c r="B54" s="173">
        <f>1/77</f>
        <v>1.2987012987012988E-2</v>
      </c>
      <c r="C54" s="173">
        <v>0</v>
      </c>
      <c r="D54" s="173">
        <v>0</v>
      </c>
      <c r="E54" s="173">
        <f>1/11</f>
        <v>9.0909090909090912E-2</v>
      </c>
      <c r="F54" s="173">
        <v>0</v>
      </c>
      <c r="G54" s="183"/>
      <c r="I54" s="179"/>
    </row>
    <row r="55" spans="1:9" ht="16" thickBot="1" x14ac:dyDescent="0.25">
      <c r="A55" s="175" t="s">
        <v>138</v>
      </c>
      <c r="B55" s="173">
        <f>SUM(B50:B54)</f>
        <v>0.99659357036406204</v>
      </c>
      <c r="C55" s="173">
        <f>SUM(C50:C54)</f>
        <v>1</v>
      </c>
      <c r="D55" s="173">
        <f>SUM(D50:D54)</f>
        <v>1</v>
      </c>
      <c r="E55" s="173">
        <f>SUM(E50:E54)</f>
        <v>1</v>
      </c>
      <c r="F55" s="173">
        <f>SUM(F50:F54)</f>
        <v>1</v>
      </c>
      <c r="G55" s="183"/>
      <c r="I55" s="179"/>
    </row>
    <row r="56" spans="1:9" x14ac:dyDescent="0.2">
      <c r="A56" s="174"/>
      <c r="B56" s="131"/>
      <c r="C56" s="131"/>
      <c r="D56" s="131"/>
      <c r="E56" s="131"/>
      <c r="F56" s="131"/>
      <c r="G56" s="183"/>
      <c r="I56" s="181"/>
    </row>
    <row r="57" spans="1:9" ht="24" customHeight="1" thickBot="1" x14ac:dyDescent="0.25">
      <c r="A57" s="127" t="s">
        <v>310</v>
      </c>
      <c r="B57" s="127" t="s">
        <v>316</v>
      </c>
      <c r="C57" s="127" t="s">
        <v>317</v>
      </c>
      <c r="D57" s="127" t="s">
        <v>318</v>
      </c>
      <c r="E57" s="127" t="s">
        <v>319</v>
      </c>
      <c r="F57" s="127" t="s">
        <v>320</v>
      </c>
      <c r="G57" s="180"/>
      <c r="I57" s="178"/>
    </row>
    <row r="58" spans="1:9" ht="16" thickBot="1" x14ac:dyDescent="0.25">
      <c r="A58" s="175" t="s">
        <v>249</v>
      </c>
      <c r="B58" s="173">
        <f>40/61</f>
        <v>0.65573770491803274</v>
      </c>
      <c r="C58" s="173">
        <f>27/40</f>
        <v>0.67500000000000004</v>
      </c>
      <c r="D58" s="173">
        <f>2/5</f>
        <v>0.4</v>
      </c>
      <c r="E58" s="173">
        <f>6/11</f>
        <v>0.54545454545454541</v>
      </c>
      <c r="F58" s="173">
        <f>5/5</f>
        <v>1</v>
      </c>
      <c r="G58" s="183"/>
      <c r="I58" s="179"/>
    </row>
    <row r="59" spans="1:9" ht="16" thickBot="1" x14ac:dyDescent="0.25">
      <c r="A59" s="175" t="s">
        <v>250</v>
      </c>
      <c r="B59" s="173">
        <f>17/61</f>
        <v>0.27868852459016391</v>
      </c>
      <c r="C59" s="173">
        <f>11/40</f>
        <v>0.27500000000000002</v>
      </c>
      <c r="D59" s="173">
        <f>2/5</f>
        <v>0.4</v>
      </c>
      <c r="E59" s="173">
        <f>4/11</f>
        <v>0.36363636363636365</v>
      </c>
      <c r="F59" s="173">
        <v>0</v>
      </c>
      <c r="G59" s="183"/>
      <c r="I59" s="179"/>
    </row>
    <row r="60" spans="1:9" ht="16" thickBot="1" x14ac:dyDescent="0.25">
      <c r="A60" s="175" t="s">
        <v>251</v>
      </c>
      <c r="B60" s="173">
        <f>3/61</f>
        <v>4.9180327868852458E-2</v>
      </c>
      <c r="C60" s="173">
        <f>1/40</f>
        <v>2.5000000000000001E-2</v>
      </c>
      <c r="D60" s="173">
        <f>1/5</f>
        <v>0.2</v>
      </c>
      <c r="E60" s="173">
        <f>1/11</f>
        <v>9.0909090909090912E-2</v>
      </c>
      <c r="F60" s="173">
        <v>0</v>
      </c>
      <c r="G60" s="183"/>
      <c r="I60" s="179"/>
    </row>
    <row r="61" spans="1:9" ht="16" thickBot="1" x14ac:dyDescent="0.25">
      <c r="A61" s="175" t="s">
        <v>254</v>
      </c>
      <c r="B61" s="173">
        <f>1/61</f>
        <v>1.6393442622950821E-2</v>
      </c>
      <c r="C61" s="173">
        <f>1/40</f>
        <v>2.5000000000000001E-2</v>
      </c>
      <c r="D61" s="173">
        <v>0</v>
      </c>
      <c r="E61" s="173">
        <v>0</v>
      </c>
      <c r="F61" s="173">
        <v>0</v>
      </c>
      <c r="G61" s="183"/>
      <c r="I61" s="179"/>
    </row>
    <row r="62" spans="1:9" ht="16" thickBot="1" x14ac:dyDescent="0.25">
      <c r="A62" s="175" t="s">
        <v>138</v>
      </c>
      <c r="B62" s="173">
        <f>SUM(B58:B61)</f>
        <v>1</v>
      </c>
      <c r="C62" s="173">
        <f>SUM(C58:C61)</f>
        <v>1</v>
      </c>
      <c r="D62" s="173">
        <f>SUM(D58:D61)</f>
        <v>1</v>
      </c>
      <c r="E62" s="173">
        <f>SUM(E58:E61)</f>
        <v>1</v>
      </c>
      <c r="F62" s="173">
        <f>SUM(F58:F61)</f>
        <v>1</v>
      </c>
      <c r="G62" s="183"/>
      <c r="I62" s="179"/>
    </row>
    <row r="63" spans="1:9" x14ac:dyDescent="0.2">
      <c r="A63" s="174"/>
      <c r="B63" s="131"/>
      <c r="C63" s="131"/>
      <c r="D63" s="131"/>
      <c r="E63" s="131"/>
      <c r="F63" s="131"/>
      <c r="G63" s="183"/>
      <c r="I63" s="182"/>
    </row>
    <row r="64" spans="1:9" ht="18" x14ac:dyDescent="0.2">
      <c r="A64" s="177" t="s">
        <v>333</v>
      </c>
      <c r="B64" s="177"/>
      <c r="C64" s="177"/>
      <c r="D64" s="177"/>
      <c r="E64" s="177"/>
      <c r="F64" s="177"/>
      <c r="G64" s="183"/>
      <c r="I64" s="182"/>
    </row>
    <row r="65" spans="1:9" x14ac:dyDescent="0.2">
      <c r="A65" s="174"/>
      <c r="B65" s="131"/>
      <c r="C65" s="131"/>
      <c r="D65" s="131"/>
      <c r="E65" s="131"/>
      <c r="F65" s="131"/>
      <c r="G65" s="183"/>
      <c r="I65" s="182"/>
    </row>
    <row r="66" spans="1:9" ht="29" thickBot="1" x14ac:dyDescent="0.25">
      <c r="A66" s="127" t="s">
        <v>334</v>
      </c>
      <c r="B66" s="127" t="s">
        <v>233</v>
      </c>
      <c r="C66" s="127" t="s">
        <v>234</v>
      </c>
      <c r="D66" s="127" t="s">
        <v>235</v>
      </c>
      <c r="E66" s="127" t="s">
        <v>236</v>
      </c>
      <c r="F66" s="127" t="s">
        <v>237</v>
      </c>
      <c r="G66" s="180"/>
      <c r="I66" s="178"/>
    </row>
    <row r="67" spans="1:9" ht="16" thickBot="1" x14ac:dyDescent="0.25">
      <c r="A67" s="175" t="s">
        <v>227</v>
      </c>
      <c r="B67" s="173">
        <f>53/77</f>
        <v>0.68831168831168832</v>
      </c>
      <c r="C67" s="173">
        <f>36/52</f>
        <v>0.69230769230769229</v>
      </c>
      <c r="D67" s="173">
        <f>4/6</f>
        <v>0.66666666666666663</v>
      </c>
      <c r="E67" s="173">
        <f>7/12</f>
        <v>0.58333333333333337</v>
      </c>
      <c r="F67" s="173">
        <f>6/7</f>
        <v>0.8571428571428571</v>
      </c>
      <c r="G67" s="183"/>
      <c r="I67" s="179"/>
    </row>
    <row r="68" spans="1:9" ht="16" thickBot="1" x14ac:dyDescent="0.25">
      <c r="A68" s="175" t="s">
        <v>232</v>
      </c>
      <c r="B68" s="173">
        <f>4/77</f>
        <v>5.1948051948051951E-2</v>
      </c>
      <c r="C68" s="173">
        <f>3/52</f>
        <v>5.7692307692307696E-2</v>
      </c>
      <c r="D68" s="173">
        <f>1/6</f>
        <v>0.16666666666666666</v>
      </c>
      <c r="E68" s="173">
        <f>5/12</f>
        <v>0.41666666666666669</v>
      </c>
      <c r="F68" s="173">
        <v>0</v>
      </c>
      <c r="G68" s="183"/>
      <c r="I68" s="179"/>
    </row>
    <row r="69" spans="1:9" ht="16" thickBot="1" x14ac:dyDescent="0.25">
      <c r="A69" s="175" t="s">
        <v>231</v>
      </c>
      <c r="B69" s="173">
        <f>20/77</f>
        <v>0.25974025974025972</v>
      </c>
      <c r="C69" s="173">
        <f>13/52</f>
        <v>0.25</v>
      </c>
      <c r="D69" s="173">
        <f>1/6</f>
        <v>0.16666666666666666</v>
      </c>
      <c r="E69" s="173">
        <v>0</v>
      </c>
      <c r="F69" s="173">
        <f>1/7</f>
        <v>0.14285714285714285</v>
      </c>
      <c r="G69" s="183"/>
      <c r="I69" s="179"/>
    </row>
    <row r="70" spans="1:9" ht="16" thickBot="1" x14ac:dyDescent="0.25">
      <c r="A70" s="175" t="s">
        <v>138</v>
      </c>
      <c r="B70" s="173">
        <f>SUM(B67:B69)</f>
        <v>1</v>
      </c>
      <c r="C70" s="173">
        <f t="shared" ref="C70:F70" si="1">SUM(C67:C69)</f>
        <v>1</v>
      </c>
      <c r="D70" s="173">
        <f t="shared" si="1"/>
        <v>0.99999999999999989</v>
      </c>
      <c r="E70" s="173">
        <f t="shared" si="1"/>
        <v>1</v>
      </c>
      <c r="F70" s="173">
        <f t="shared" si="1"/>
        <v>1</v>
      </c>
      <c r="G70" s="183"/>
      <c r="I70" s="179"/>
    </row>
    <row r="71" spans="1:9" x14ac:dyDescent="0.2">
      <c r="A71" s="174"/>
      <c r="G71" s="183"/>
      <c r="I71" s="181"/>
    </row>
    <row r="72" spans="1:9" ht="24" customHeight="1" thickBot="1" x14ac:dyDescent="0.25">
      <c r="A72" s="127" t="s">
        <v>309</v>
      </c>
      <c r="B72" s="127" t="s">
        <v>321</v>
      </c>
      <c r="C72" s="127" t="s">
        <v>322</v>
      </c>
      <c r="D72" s="127" t="s">
        <v>323</v>
      </c>
      <c r="E72" s="127" t="s">
        <v>325</v>
      </c>
      <c r="F72" s="127" t="s">
        <v>324</v>
      </c>
      <c r="G72" s="180"/>
      <c r="I72" s="178"/>
    </row>
    <row r="73" spans="1:9" ht="16" thickBot="1" x14ac:dyDescent="0.25">
      <c r="A73" s="175" t="s">
        <v>255</v>
      </c>
      <c r="B73" s="173">
        <f>2/24</f>
        <v>8.3333333333333329E-2</v>
      </c>
      <c r="C73" s="173"/>
      <c r="D73" s="173"/>
      <c r="E73" s="173">
        <f>2/5</f>
        <v>0.4</v>
      </c>
      <c r="F73" s="173"/>
      <c r="G73" s="183"/>
      <c r="I73" s="179"/>
    </row>
    <row r="74" spans="1:9" ht="16" thickBot="1" x14ac:dyDescent="0.25">
      <c r="A74" s="175" t="s">
        <v>258</v>
      </c>
      <c r="B74" s="173">
        <f>7/24</f>
        <v>0.29166666666666669</v>
      </c>
      <c r="C74" s="173">
        <f>4/16</f>
        <v>0.25</v>
      </c>
      <c r="D74" s="173">
        <f>1/2</f>
        <v>0.5</v>
      </c>
      <c r="E74" s="173">
        <f>2/5</f>
        <v>0.4</v>
      </c>
      <c r="F74" s="173"/>
      <c r="G74" s="183"/>
      <c r="I74" s="179"/>
    </row>
    <row r="75" spans="1:9" ht="16" thickBot="1" x14ac:dyDescent="0.25">
      <c r="A75" s="175" t="s">
        <v>256</v>
      </c>
      <c r="B75" s="173">
        <f>9/24</f>
        <v>0.375</v>
      </c>
      <c r="C75" s="173">
        <f>6/16</f>
        <v>0.375</v>
      </c>
      <c r="D75" s="173">
        <f>1/2</f>
        <v>0.5</v>
      </c>
      <c r="E75" s="173">
        <f>1/5</f>
        <v>0.2</v>
      </c>
      <c r="F75" s="173">
        <f>1/1</f>
        <v>1</v>
      </c>
      <c r="G75" s="183"/>
      <c r="I75" s="179"/>
    </row>
    <row r="76" spans="1:9" ht="16" thickBot="1" x14ac:dyDescent="0.25">
      <c r="A76" s="175" t="s">
        <v>257</v>
      </c>
      <c r="B76" s="173">
        <f>3/24</f>
        <v>0.125</v>
      </c>
      <c r="C76" s="173">
        <f>3/16</f>
        <v>0.1875</v>
      </c>
      <c r="D76" s="173"/>
      <c r="E76" s="173"/>
      <c r="F76" s="173"/>
      <c r="G76" s="183"/>
      <c r="I76" s="179"/>
    </row>
    <row r="77" spans="1:9" ht="16" thickBot="1" x14ac:dyDescent="0.25">
      <c r="A77" s="175" t="s">
        <v>248</v>
      </c>
      <c r="B77" s="173">
        <f>3/24</f>
        <v>0.125</v>
      </c>
      <c r="C77" s="173">
        <f>3/16</f>
        <v>0.1875</v>
      </c>
      <c r="D77" s="173"/>
      <c r="E77" s="173"/>
      <c r="F77" s="173"/>
      <c r="G77" s="183"/>
      <c r="I77" s="179"/>
    </row>
    <row r="78" spans="1:9" ht="16" thickBot="1" x14ac:dyDescent="0.25">
      <c r="A78" s="175" t="s">
        <v>138</v>
      </c>
      <c r="B78" s="173">
        <f>SUM(B73:B77)</f>
        <v>1</v>
      </c>
      <c r="C78" s="173">
        <f>SUM(C73:C77)</f>
        <v>1</v>
      </c>
      <c r="D78" s="173">
        <f>SUM(D73:D77)</f>
        <v>1</v>
      </c>
      <c r="E78" s="173">
        <f>SUM(E73:E77)</f>
        <v>1</v>
      </c>
      <c r="F78" s="173">
        <f>SUM(F73:F77)</f>
        <v>1</v>
      </c>
      <c r="G78" s="183"/>
      <c r="I78" s="179"/>
    </row>
    <row r="79" spans="1:9" x14ac:dyDescent="0.2">
      <c r="A79" s="174"/>
      <c r="G79" s="183"/>
      <c r="I79" s="181"/>
    </row>
    <row r="80" spans="1:9" ht="24" customHeight="1" thickBot="1" x14ac:dyDescent="0.25">
      <c r="A80" s="127" t="s">
        <v>308</v>
      </c>
      <c r="B80" s="127" t="s">
        <v>321</v>
      </c>
      <c r="C80" s="127" t="s">
        <v>322</v>
      </c>
      <c r="D80" s="127" t="s">
        <v>323</v>
      </c>
      <c r="E80" s="127" t="s">
        <v>325</v>
      </c>
      <c r="F80" s="127" t="s">
        <v>324</v>
      </c>
      <c r="G80" s="180"/>
      <c r="I80" s="178"/>
    </row>
    <row r="81" spans="1:9" ht="16" thickBot="1" x14ac:dyDescent="0.25">
      <c r="A81" s="175" t="s">
        <v>259</v>
      </c>
      <c r="B81" s="173">
        <f>4/24</f>
        <v>0.16666666666666666</v>
      </c>
      <c r="C81" s="173">
        <f>2/16</f>
        <v>0.125</v>
      </c>
      <c r="D81" s="173">
        <v>0</v>
      </c>
      <c r="E81" s="173">
        <f>2/5</f>
        <v>0.4</v>
      </c>
      <c r="F81" s="173">
        <v>0</v>
      </c>
      <c r="G81" s="183"/>
      <c r="I81" s="179"/>
    </row>
    <row r="82" spans="1:9" ht="16" thickBot="1" x14ac:dyDescent="0.25">
      <c r="A82" s="175" t="s">
        <v>260</v>
      </c>
      <c r="B82" s="173">
        <f>2/24</f>
        <v>8.3333333333333329E-2</v>
      </c>
      <c r="C82" s="173">
        <f>1/16</f>
        <v>6.25E-2</v>
      </c>
      <c r="D82" s="173">
        <v>0</v>
      </c>
      <c r="E82" s="173">
        <f>1/5</f>
        <v>0.2</v>
      </c>
      <c r="F82" s="173">
        <v>0</v>
      </c>
      <c r="G82" s="183"/>
      <c r="I82" s="179"/>
    </row>
    <row r="83" spans="1:9" ht="16" thickBot="1" x14ac:dyDescent="0.25">
      <c r="A83" s="175" t="s">
        <v>261</v>
      </c>
      <c r="B83" s="173">
        <f>1/24</f>
        <v>4.1666666666666664E-2</v>
      </c>
      <c r="C83" s="173">
        <f>1/16</f>
        <v>6.25E-2</v>
      </c>
      <c r="D83" s="173">
        <v>0</v>
      </c>
      <c r="E83" s="173">
        <v>0</v>
      </c>
      <c r="F83" s="173">
        <v>0</v>
      </c>
      <c r="G83" s="183"/>
      <c r="I83" s="179"/>
    </row>
    <row r="84" spans="1:9" ht="16" thickBot="1" x14ac:dyDescent="0.25">
      <c r="A84" s="175" t="s">
        <v>262</v>
      </c>
      <c r="B84" s="173">
        <f>8/24</f>
        <v>0.33333333333333331</v>
      </c>
      <c r="C84" s="173">
        <f>6/16</f>
        <v>0.375</v>
      </c>
      <c r="D84" s="173">
        <f>1/2</f>
        <v>0.5</v>
      </c>
      <c r="E84" s="173">
        <f>1/5</f>
        <v>0.2</v>
      </c>
      <c r="F84" s="173">
        <v>0</v>
      </c>
      <c r="G84" s="183"/>
      <c r="I84" s="179"/>
    </row>
    <row r="85" spans="1:9" ht="16" thickBot="1" x14ac:dyDescent="0.25">
      <c r="A85" s="175" t="s">
        <v>263</v>
      </c>
      <c r="B85" s="173">
        <f>9/24</f>
        <v>0.375</v>
      </c>
      <c r="C85" s="173">
        <f>6/16</f>
        <v>0.375</v>
      </c>
      <c r="D85" s="173">
        <f>1/2</f>
        <v>0.5</v>
      </c>
      <c r="E85" s="173">
        <f>1/5</f>
        <v>0.2</v>
      </c>
      <c r="F85" s="173">
        <f>1/1</f>
        <v>1</v>
      </c>
      <c r="G85" s="183"/>
      <c r="I85" s="179"/>
    </row>
    <row r="86" spans="1:9" ht="16" thickBot="1" x14ac:dyDescent="0.25">
      <c r="A86" s="175" t="s">
        <v>138</v>
      </c>
      <c r="B86" s="173">
        <f>SUM(B81:B85)</f>
        <v>1</v>
      </c>
      <c r="C86" s="173">
        <f>SUM(C81:C85)</f>
        <v>1</v>
      </c>
      <c r="D86" s="173">
        <f>SUM(D81:D85)</f>
        <v>1</v>
      </c>
      <c r="E86" s="173">
        <f>SUM(E81:E85)</f>
        <v>1</v>
      </c>
      <c r="F86" s="173">
        <f>SUM(F81:F85)</f>
        <v>1</v>
      </c>
      <c r="G86" s="183"/>
      <c r="I86" s="179"/>
    </row>
    <row r="87" spans="1:9" x14ac:dyDescent="0.2">
      <c r="A87" s="174"/>
      <c r="G87" s="183"/>
      <c r="I87" s="181"/>
    </row>
    <row r="88" spans="1:9" ht="29" thickBot="1" x14ac:dyDescent="0.25">
      <c r="A88" s="127" t="s">
        <v>307</v>
      </c>
      <c r="B88" s="127" t="s">
        <v>321</v>
      </c>
      <c r="C88" s="127" t="s">
        <v>322</v>
      </c>
      <c r="D88" s="127" t="s">
        <v>323</v>
      </c>
      <c r="E88" s="127" t="s">
        <v>325</v>
      </c>
      <c r="F88" s="127" t="s">
        <v>324</v>
      </c>
      <c r="G88" s="180"/>
      <c r="I88" s="178"/>
    </row>
    <row r="89" spans="1:9" ht="16" thickBot="1" x14ac:dyDescent="0.25">
      <c r="A89" s="175" t="s">
        <v>264</v>
      </c>
      <c r="B89" s="173">
        <f>14/24</f>
        <v>0.58333333333333337</v>
      </c>
      <c r="C89" s="173">
        <f>9/16</f>
        <v>0.5625</v>
      </c>
      <c r="D89" s="173">
        <f>2/2</f>
        <v>1</v>
      </c>
      <c r="E89" s="173">
        <f>3/5</f>
        <v>0.6</v>
      </c>
      <c r="F89" s="173"/>
      <c r="I89" s="179"/>
    </row>
    <row r="90" spans="1:9" ht="16" thickBot="1" x14ac:dyDescent="0.25">
      <c r="A90" s="175" t="s">
        <v>336</v>
      </c>
      <c r="B90" s="173">
        <f>9/24</f>
        <v>0.375</v>
      </c>
      <c r="C90" s="173">
        <f>6/16</f>
        <v>0.375</v>
      </c>
      <c r="D90" s="173"/>
      <c r="E90" s="173">
        <f>2/5</f>
        <v>0.4</v>
      </c>
      <c r="F90" s="173">
        <f>1/1</f>
        <v>1</v>
      </c>
      <c r="I90" s="179"/>
    </row>
    <row r="91" spans="1:9" ht="16" thickBot="1" x14ac:dyDescent="0.25">
      <c r="A91" s="175" t="s">
        <v>335</v>
      </c>
      <c r="B91" s="173"/>
      <c r="C91" s="173"/>
      <c r="D91" s="173"/>
      <c r="E91" s="173"/>
      <c r="F91" s="173"/>
      <c r="I91" s="179"/>
    </row>
    <row r="92" spans="1:9" ht="16" thickBot="1" x14ac:dyDescent="0.25">
      <c r="A92" s="175" t="s">
        <v>265</v>
      </c>
      <c r="B92" s="173">
        <f>1/24</f>
        <v>4.1666666666666664E-2</v>
      </c>
      <c r="C92" s="173">
        <f>1/16</f>
        <v>6.25E-2</v>
      </c>
      <c r="D92" s="173"/>
      <c r="E92" s="173"/>
      <c r="F92" s="173"/>
      <c r="I92" s="179"/>
    </row>
    <row r="93" spans="1:9" ht="16" thickBot="1" x14ac:dyDescent="0.25">
      <c r="A93" s="175" t="s">
        <v>138</v>
      </c>
      <c r="B93" s="173">
        <f>SUM(B89:B92)</f>
        <v>1</v>
      </c>
      <c r="C93" s="173">
        <f>SUM(C89:C92)</f>
        <v>1</v>
      </c>
      <c r="D93" s="173">
        <f>SUM(D89:D92)</f>
        <v>1</v>
      </c>
      <c r="E93" s="173">
        <f>SUM(E89:E92)</f>
        <v>1</v>
      </c>
      <c r="F93" s="173">
        <f>SUM(F89:F92)</f>
        <v>1</v>
      </c>
      <c r="I93" s="179"/>
    </row>
    <row r="94" spans="1:9" ht="44" customHeight="1" x14ac:dyDescent="0.2"/>
    <row r="105" ht="44" customHeight="1" x14ac:dyDescent="0.2"/>
    <row r="113" spans="9:9" x14ac:dyDescent="0.2">
      <c r="I113" s="178"/>
    </row>
    <row r="114" spans="9:9" ht="44" customHeight="1" x14ac:dyDescent="0.2">
      <c r="I114" s="179"/>
    </row>
    <row r="115" spans="9:9" x14ac:dyDescent="0.2">
      <c r="I115" s="179"/>
    </row>
    <row r="116" spans="9:9" x14ac:dyDescent="0.2">
      <c r="I116" s="179"/>
    </row>
    <row r="117" spans="9:9" x14ac:dyDescent="0.2">
      <c r="I117" s="179"/>
    </row>
  </sheetData>
  <mergeCells count="8">
    <mergeCell ref="A5:F5"/>
    <mergeCell ref="B1:F2"/>
    <mergeCell ref="B3:F3"/>
    <mergeCell ref="A6:F6"/>
    <mergeCell ref="A1:A3"/>
    <mergeCell ref="A64:F64"/>
    <mergeCell ref="A8:F8"/>
    <mergeCell ref="A4:F4"/>
  </mergeCells>
  <phoneticPr fontId="54" type="noConversion"/>
  <pageMargins left="0.7" right="0.7" top="0.75" bottom="0.75" header="0.3" footer="0.3"/>
  <pageSetup scale="41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DB93"/>
  <sheetViews>
    <sheetView topLeftCell="A58" workbookViewId="0">
      <selection activeCell="F137" sqref="A1:F137"/>
    </sheetView>
  </sheetViews>
  <sheetFormatPr baseColWidth="10" defaultRowHeight="15" x14ac:dyDescent="0.2"/>
  <cols>
    <col min="1" max="1" width="72.33203125" customWidth="1"/>
    <col min="2" max="4" width="28.6640625" style="129" customWidth="1"/>
  </cols>
  <sheetData>
    <row r="1" spans="1:106" s="4" customFormat="1" ht="35.5" customHeight="1" x14ac:dyDescent="0.15">
      <c r="A1" s="143"/>
      <c r="B1" s="144" t="s">
        <v>207</v>
      </c>
      <c r="C1" s="144"/>
      <c r="D1" s="144"/>
      <c r="E1" s="190"/>
      <c r="F1" s="190"/>
      <c r="G1" s="190"/>
      <c r="H1" s="190"/>
      <c r="I1" s="190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</row>
    <row r="2" spans="1:106" s="4" customFormat="1" ht="13.25" customHeight="1" x14ac:dyDescent="0.15">
      <c r="A2" s="143"/>
      <c r="B2" s="144"/>
      <c r="C2" s="144"/>
      <c r="D2" s="144"/>
      <c r="E2" s="190"/>
      <c r="F2" s="190"/>
      <c r="G2" s="190"/>
      <c r="H2" s="190"/>
      <c r="I2" s="190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</row>
    <row r="3" spans="1:106" s="4" customFormat="1" ht="34" customHeight="1" x14ac:dyDescent="0.15">
      <c r="A3" s="143"/>
      <c r="B3" s="145" t="s">
        <v>337</v>
      </c>
      <c r="C3" s="145"/>
      <c r="D3" s="145"/>
      <c r="E3" s="190"/>
      <c r="F3" s="190"/>
      <c r="G3" s="190"/>
      <c r="H3" s="190"/>
      <c r="I3" s="190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</row>
    <row r="4" spans="1:106" s="6" customFormat="1" ht="14" x14ac:dyDescent="0.15">
      <c r="A4" s="184"/>
      <c r="B4" s="184"/>
      <c r="C4" s="184"/>
      <c r="D4" s="18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</row>
    <row r="5" spans="1:106" s="9" customFormat="1" ht="30" customHeight="1" x14ac:dyDescent="0.15">
      <c r="A5" s="185" t="s">
        <v>305</v>
      </c>
      <c r="B5" s="185"/>
      <c r="C5" s="185"/>
      <c r="D5" s="185"/>
      <c r="E5" s="44"/>
      <c r="F5" s="44"/>
      <c r="G5" s="44"/>
      <c r="H5" s="4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6" spans="1:106" s="5" customFormat="1" ht="25" customHeight="1" x14ac:dyDescent="0.15">
      <c r="A6" s="193" t="s">
        <v>196</v>
      </c>
      <c r="B6" s="193"/>
      <c r="C6" s="193"/>
      <c r="D6" s="193"/>
      <c r="E6" s="46"/>
      <c r="F6" s="46"/>
      <c r="G6" s="46"/>
      <c r="H6" s="46"/>
      <c r="I6" s="46"/>
      <c r="J6" s="44"/>
      <c r="K6" s="44"/>
      <c r="L6" s="44"/>
      <c r="M6" s="44"/>
    </row>
    <row r="7" spans="1:106" s="5" customFormat="1" ht="12" customHeight="1" x14ac:dyDescent="0.15">
      <c r="A7" s="172"/>
      <c r="B7" s="172"/>
      <c r="C7" s="172"/>
      <c r="D7" s="172"/>
      <c r="E7" s="172"/>
      <c r="F7" s="172"/>
      <c r="G7" s="172"/>
      <c r="H7" s="172"/>
      <c r="I7" s="172"/>
      <c r="J7" s="44"/>
      <c r="K7" s="44"/>
      <c r="L7" s="44"/>
      <c r="M7" s="44"/>
    </row>
    <row r="8" spans="1:106" s="5" customFormat="1" ht="21" customHeight="1" x14ac:dyDescent="0.15">
      <c r="A8" s="177" t="s">
        <v>332</v>
      </c>
      <c r="B8" s="177"/>
      <c r="C8" s="177"/>
      <c r="D8" s="177"/>
      <c r="E8" s="172"/>
      <c r="F8" s="172"/>
      <c r="G8" s="172"/>
      <c r="H8" s="172"/>
      <c r="I8" s="172"/>
      <c r="J8" s="44"/>
      <c r="K8" s="44"/>
      <c r="L8" s="44"/>
      <c r="M8" s="44"/>
    </row>
    <row r="9" spans="1:106" s="9" customFormat="1" ht="13" customHeight="1" x14ac:dyDescent="0.15">
      <c r="A9" s="46"/>
      <c r="B9" s="46"/>
      <c r="C9" s="46"/>
      <c r="D9" s="46"/>
      <c r="E9" s="46"/>
      <c r="F9" s="46"/>
      <c r="G9" s="46"/>
      <c r="H9" s="46"/>
      <c r="I9" s="46"/>
      <c r="J9" s="45"/>
      <c r="K9" s="45"/>
      <c r="L9" s="45"/>
      <c r="M9" s="4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pans="1:106" ht="29" thickBot="1" x14ac:dyDescent="0.25">
      <c r="A10" s="127" t="s">
        <v>306</v>
      </c>
      <c r="B10" s="127" t="s">
        <v>266</v>
      </c>
      <c r="C10" s="127" t="s">
        <v>267</v>
      </c>
      <c r="D10" s="127" t="s">
        <v>268</v>
      </c>
      <c r="E10" s="180"/>
    </row>
    <row r="11" spans="1:106" ht="17" customHeight="1" thickBot="1" x14ac:dyDescent="0.25">
      <c r="A11" s="175" t="s">
        <v>227</v>
      </c>
      <c r="B11" s="173">
        <f>13/50</f>
        <v>0.26</v>
      </c>
      <c r="C11" s="173">
        <f>1/16</f>
        <v>6.25E-2</v>
      </c>
      <c r="D11" s="173">
        <f>2/11</f>
        <v>0.18181818181818182</v>
      </c>
      <c r="E11" s="183"/>
    </row>
    <row r="12" spans="1:106" ht="17" customHeight="1" thickBot="1" x14ac:dyDescent="0.25">
      <c r="A12" s="175" t="s">
        <v>231</v>
      </c>
      <c r="B12" s="173">
        <f>20/50</f>
        <v>0.4</v>
      </c>
      <c r="C12" s="173">
        <f>8/16</f>
        <v>0.5</v>
      </c>
      <c r="D12" s="173">
        <f>5/11</f>
        <v>0.45454545454545453</v>
      </c>
      <c r="E12" s="183"/>
    </row>
    <row r="13" spans="1:106" ht="17" customHeight="1" thickBot="1" x14ac:dyDescent="0.25">
      <c r="A13" s="175" t="s">
        <v>232</v>
      </c>
      <c r="B13" s="173">
        <f>17/50</f>
        <v>0.34</v>
      </c>
      <c r="C13" s="173">
        <f>7/16</f>
        <v>0.4375</v>
      </c>
      <c r="D13" s="173">
        <f>4/11</f>
        <v>0.36363636363636365</v>
      </c>
      <c r="E13" s="183"/>
    </row>
    <row r="14" spans="1:106" ht="17" customHeight="1" thickBot="1" x14ac:dyDescent="0.25">
      <c r="A14" s="175" t="s">
        <v>138</v>
      </c>
      <c r="B14" s="173">
        <f t="shared" ref="B14:D14" si="0">SUM(B11:B13)</f>
        <v>1</v>
      </c>
      <c r="C14" s="173">
        <f t="shared" si="0"/>
        <v>1</v>
      </c>
      <c r="D14" s="173">
        <f t="shared" si="0"/>
        <v>1</v>
      </c>
      <c r="E14" s="183"/>
    </row>
    <row r="15" spans="1:106" ht="17" customHeight="1" x14ac:dyDescent="0.2">
      <c r="A15" s="174"/>
      <c r="B15" s="130"/>
      <c r="C15" s="130"/>
      <c r="D15" s="130"/>
      <c r="E15" s="183"/>
    </row>
    <row r="16" spans="1:106" ht="24" customHeight="1" thickBot="1" x14ac:dyDescent="0.25">
      <c r="A16" s="127" t="s">
        <v>315</v>
      </c>
      <c r="B16" s="127" t="s">
        <v>328</v>
      </c>
      <c r="C16" s="127" t="s">
        <v>326</v>
      </c>
      <c r="D16" s="127" t="s">
        <v>327</v>
      </c>
      <c r="E16" s="180"/>
    </row>
    <row r="17" spans="1:5" ht="17" customHeight="1" thickBot="1" x14ac:dyDescent="0.25">
      <c r="A17" s="175" t="s">
        <v>228</v>
      </c>
      <c r="B17" s="173">
        <f>26/37</f>
        <v>0.70270270270270274</v>
      </c>
      <c r="C17" s="173">
        <f>8/15</f>
        <v>0.53333333333333333</v>
      </c>
      <c r="D17" s="173">
        <f>7/9</f>
        <v>0.77777777777777779</v>
      </c>
      <c r="E17" s="183"/>
    </row>
    <row r="18" spans="1:5" ht="17" customHeight="1" thickBot="1" x14ac:dyDescent="0.25">
      <c r="A18" s="175" t="s">
        <v>229</v>
      </c>
      <c r="B18" s="173">
        <f>7/37</f>
        <v>0.1891891891891892</v>
      </c>
      <c r="C18" s="173">
        <f>4/15</f>
        <v>0.26666666666666666</v>
      </c>
      <c r="D18" s="173">
        <f>1/9</f>
        <v>0.1111111111111111</v>
      </c>
      <c r="E18" s="183"/>
    </row>
    <row r="19" spans="1:5" ht="17" customHeight="1" thickBot="1" x14ac:dyDescent="0.25">
      <c r="A19" s="175" t="s">
        <v>230</v>
      </c>
      <c r="B19" s="173">
        <f>2/37</f>
        <v>5.4054054054054057E-2</v>
      </c>
      <c r="C19" s="173">
        <f>2/15</f>
        <v>0.13333333333333333</v>
      </c>
      <c r="D19" s="173"/>
      <c r="E19" s="183"/>
    </row>
    <row r="20" spans="1:5" ht="17" customHeight="1" thickBot="1" x14ac:dyDescent="0.25">
      <c r="A20" s="175" t="s">
        <v>144</v>
      </c>
      <c r="B20" s="173">
        <f>2/37</f>
        <v>5.4054054054054057E-2</v>
      </c>
      <c r="C20" s="173">
        <f>1/15</f>
        <v>6.6666666666666666E-2</v>
      </c>
      <c r="D20" s="173">
        <f>1/9</f>
        <v>0.1111111111111111</v>
      </c>
      <c r="E20" s="183"/>
    </row>
    <row r="21" spans="1:5" ht="17" customHeight="1" thickBot="1" x14ac:dyDescent="0.25">
      <c r="A21" s="175" t="s">
        <v>138</v>
      </c>
      <c r="B21" s="173">
        <f>SUM(B17:B20)</f>
        <v>1</v>
      </c>
      <c r="C21" s="173">
        <f>SUM(C17:C20)</f>
        <v>1</v>
      </c>
      <c r="D21" s="173">
        <f>SUM(D17:D20)</f>
        <v>1</v>
      </c>
      <c r="E21" s="183"/>
    </row>
    <row r="22" spans="1:5" ht="17" customHeight="1" x14ac:dyDescent="0.2">
      <c r="A22" s="174"/>
      <c r="B22" s="130"/>
      <c r="C22" s="130"/>
      <c r="D22" s="130"/>
      <c r="E22" s="183"/>
    </row>
    <row r="23" spans="1:5" ht="24" customHeight="1" thickBot="1" x14ac:dyDescent="0.25">
      <c r="A23" s="127" t="s">
        <v>314</v>
      </c>
      <c r="B23" s="127" t="s">
        <v>328</v>
      </c>
      <c r="C23" s="127" t="s">
        <v>326</v>
      </c>
      <c r="D23" s="127" t="s">
        <v>327</v>
      </c>
      <c r="E23" s="180"/>
    </row>
    <row r="24" spans="1:5" ht="17" customHeight="1" thickBot="1" x14ac:dyDescent="0.25">
      <c r="A24" s="175" t="s">
        <v>238</v>
      </c>
      <c r="B24" s="173">
        <f>5/37</f>
        <v>0.13513513513513514</v>
      </c>
      <c r="C24" s="173">
        <f>1/15</f>
        <v>6.6666666666666666E-2</v>
      </c>
      <c r="D24" s="173"/>
      <c r="E24" s="183"/>
    </row>
    <row r="25" spans="1:5" ht="17" customHeight="1" thickBot="1" x14ac:dyDescent="0.25">
      <c r="A25" s="175" t="s">
        <v>239</v>
      </c>
      <c r="B25" s="173">
        <f>4/37</f>
        <v>0.10810810810810811</v>
      </c>
      <c r="C25" s="173">
        <f>2/15</f>
        <v>0.13333333333333333</v>
      </c>
      <c r="D25" s="173">
        <f>2/9</f>
        <v>0.22222222222222221</v>
      </c>
      <c r="E25" s="183"/>
    </row>
    <row r="26" spans="1:5" ht="17" customHeight="1" thickBot="1" x14ac:dyDescent="0.25">
      <c r="A26" s="175" t="s">
        <v>240</v>
      </c>
      <c r="B26" s="173">
        <f>16/37</f>
        <v>0.43243243243243246</v>
      </c>
      <c r="C26" s="173">
        <f>9/15</f>
        <v>0.6</v>
      </c>
      <c r="D26" s="173">
        <f>2/9</f>
        <v>0.22222222222222221</v>
      </c>
      <c r="E26" s="183"/>
    </row>
    <row r="27" spans="1:5" ht="17" customHeight="1" thickBot="1" x14ac:dyDescent="0.25">
      <c r="A27" s="175" t="s">
        <v>241</v>
      </c>
      <c r="B27" s="173">
        <f>3/37</f>
        <v>8.1081081081081086E-2</v>
      </c>
      <c r="C27" s="173"/>
      <c r="D27" s="173">
        <f>1/9</f>
        <v>0.1111111111111111</v>
      </c>
      <c r="E27" s="183"/>
    </row>
    <row r="28" spans="1:5" ht="17" customHeight="1" thickBot="1" x14ac:dyDescent="0.25">
      <c r="A28" s="175" t="s">
        <v>242</v>
      </c>
      <c r="B28" s="173">
        <f>1/37</f>
        <v>2.7027027027027029E-2</v>
      </c>
      <c r="C28" s="173"/>
      <c r="D28" s="173">
        <f>2/9</f>
        <v>0.22222222222222221</v>
      </c>
      <c r="E28" s="183"/>
    </row>
    <row r="29" spans="1:5" ht="17" customHeight="1" thickBot="1" x14ac:dyDescent="0.25">
      <c r="A29" s="175" t="s">
        <v>243</v>
      </c>
      <c r="B29" s="173">
        <f>8/37</f>
        <v>0.21621621621621623</v>
      </c>
      <c r="C29" s="173">
        <f>1/15</f>
        <v>6.6666666666666666E-2</v>
      </c>
      <c r="D29" s="173"/>
      <c r="E29" s="183"/>
    </row>
    <row r="30" spans="1:5" ht="17" customHeight="1" thickBot="1" x14ac:dyDescent="0.25">
      <c r="A30" s="175" t="s">
        <v>144</v>
      </c>
      <c r="B30" s="173"/>
      <c r="C30" s="173">
        <f>2/15</f>
        <v>0.13333333333333333</v>
      </c>
      <c r="D30" s="173">
        <f>2/9</f>
        <v>0.22222222222222221</v>
      </c>
      <c r="E30" s="183"/>
    </row>
    <row r="31" spans="1:5" ht="17" customHeight="1" thickBot="1" x14ac:dyDescent="0.25">
      <c r="A31" s="175" t="s">
        <v>138</v>
      </c>
      <c r="B31" s="173">
        <f>SUM(B24:B30)</f>
        <v>1</v>
      </c>
      <c r="C31" s="173">
        <f>SUM(C24:C30)</f>
        <v>1</v>
      </c>
      <c r="D31" s="173">
        <f>SUM(D24:D30)</f>
        <v>1</v>
      </c>
      <c r="E31" s="183"/>
    </row>
    <row r="32" spans="1:5" ht="17" customHeight="1" x14ac:dyDescent="0.2">
      <c r="A32" s="174"/>
      <c r="B32" s="130"/>
      <c r="C32" s="130"/>
      <c r="D32" s="130"/>
      <c r="E32" s="183"/>
    </row>
    <row r="33" spans="1:5" ht="24" customHeight="1" thickBot="1" x14ac:dyDescent="0.25">
      <c r="A33" s="127" t="s">
        <v>313</v>
      </c>
      <c r="B33" s="127" t="s">
        <v>328</v>
      </c>
      <c r="C33" s="127" t="s">
        <v>326</v>
      </c>
      <c r="D33" s="127" t="s">
        <v>327</v>
      </c>
      <c r="E33" s="180"/>
    </row>
    <row r="34" spans="1:5" ht="17" customHeight="1" thickBot="1" x14ac:dyDescent="0.25">
      <c r="A34" s="175" t="s">
        <v>244</v>
      </c>
      <c r="B34" s="173">
        <f>1/37</f>
        <v>2.7027027027027029E-2</v>
      </c>
      <c r="C34" s="173">
        <f>1/15</f>
        <v>6.6666666666666666E-2</v>
      </c>
      <c r="D34" s="173"/>
      <c r="E34" s="183"/>
    </row>
    <row r="35" spans="1:5" ht="17" customHeight="1" thickBot="1" x14ac:dyDescent="0.25">
      <c r="A35" s="175" t="s">
        <v>245</v>
      </c>
      <c r="B35" s="173">
        <f>2/37</f>
        <v>5.4054054054054057E-2</v>
      </c>
      <c r="C35" s="173"/>
      <c r="D35" s="173">
        <f>1/9</f>
        <v>0.1111111111111111</v>
      </c>
      <c r="E35" s="183"/>
    </row>
    <row r="36" spans="1:5" ht="17" customHeight="1" thickBot="1" x14ac:dyDescent="0.25">
      <c r="A36" s="175" t="s">
        <v>246</v>
      </c>
      <c r="B36" s="173">
        <f>13/37</f>
        <v>0.35135135135135137</v>
      </c>
      <c r="C36" s="173">
        <f>4/15</f>
        <v>0.26666666666666666</v>
      </c>
      <c r="D36" s="173">
        <f>4/9</f>
        <v>0.44444444444444442</v>
      </c>
      <c r="E36" s="183"/>
    </row>
    <row r="37" spans="1:5" ht="17" customHeight="1" thickBot="1" x14ac:dyDescent="0.25">
      <c r="A37" s="175" t="s">
        <v>247</v>
      </c>
      <c r="B37" s="173">
        <f>17/37</f>
        <v>0.45945945945945948</v>
      </c>
      <c r="C37" s="173">
        <f>6/15</f>
        <v>0.4</v>
      </c>
      <c r="D37" s="173">
        <f>3/9</f>
        <v>0.33333333333333331</v>
      </c>
      <c r="E37" s="183"/>
    </row>
    <row r="38" spans="1:5" ht="17" customHeight="1" thickBot="1" x14ac:dyDescent="0.25">
      <c r="A38" s="175" t="s">
        <v>248</v>
      </c>
      <c r="B38" s="173">
        <f>4/37</f>
        <v>0.10810810810810811</v>
      </c>
      <c r="C38" s="173">
        <f>4/15</f>
        <v>0.26666666666666666</v>
      </c>
      <c r="D38" s="173">
        <f>1/9</f>
        <v>0.1111111111111111</v>
      </c>
      <c r="E38" s="183"/>
    </row>
    <row r="39" spans="1:5" ht="17" customHeight="1" thickBot="1" x14ac:dyDescent="0.25">
      <c r="A39" s="175" t="s">
        <v>138</v>
      </c>
      <c r="B39" s="173">
        <f>SUM(B34:B38)</f>
        <v>1</v>
      </c>
      <c r="C39" s="173">
        <f>SUM(C34:C38)</f>
        <v>1</v>
      </c>
      <c r="D39" s="173">
        <f>SUM(D34:D38)</f>
        <v>1</v>
      </c>
      <c r="E39" s="183"/>
    </row>
    <row r="40" spans="1:5" ht="17" customHeight="1" x14ac:dyDescent="0.2">
      <c r="A40" s="174"/>
      <c r="B40" s="130"/>
      <c r="C40" s="130"/>
      <c r="D40" s="130"/>
      <c r="E40" s="183"/>
    </row>
    <row r="41" spans="1:5" ht="29" thickBot="1" x14ac:dyDescent="0.25">
      <c r="A41" s="127" t="s">
        <v>312</v>
      </c>
      <c r="B41" s="127" t="s">
        <v>328</v>
      </c>
      <c r="C41" s="127" t="s">
        <v>326</v>
      </c>
      <c r="D41" s="127" t="s">
        <v>327</v>
      </c>
      <c r="E41" s="180"/>
    </row>
    <row r="42" spans="1:5" ht="17" customHeight="1" thickBot="1" x14ac:dyDescent="0.25">
      <c r="A42" s="175" t="s">
        <v>249</v>
      </c>
      <c r="B42" s="173">
        <f>11/37</f>
        <v>0.29729729729729731</v>
      </c>
      <c r="C42" s="173">
        <f>3/15</f>
        <v>0.2</v>
      </c>
      <c r="D42" s="173">
        <f>2/9</f>
        <v>0.22222222222222221</v>
      </c>
      <c r="E42" s="183"/>
    </row>
    <row r="43" spans="1:5" ht="17" customHeight="1" thickBot="1" x14ac:dyDescent="0.25">
      <c r="A43" s="175" t="s">
        <v>250</v>
      </c>
      <c r="B43" s="173">
        <f>13/37</f>
        <v>0.35135135135135137</v>
      </c>
      <c r="C43" s="173"/>
      <c r="D43" s="173">
        <f>2/9</f>
        <v>0.22222222222222221</v>
      </c>
      <c r="E43" s="183"/>
    </row>
    <row r="44" spans="1:5" ht="17" customHeight="1" thickBot="1" x14ac:dyDescent="0.25">
      <c r="A44" s="175" t="s">
        <v>251</v>
      </c>
      <c r="B44" s="173">
        <f>6/37</f>
        <v>0.16216216216216217</v>
      </c>
      <c r="C44" s="173">
        <f>7/15</f>
        <v>0.46666666666666667</v>
      </c>
      <c r="D44" s="173">
        <f>3/9</f>
        <v>0.33333333333333331</v>
      </c>
      <c r="E44" s="183"/>
    </row>
    <row r="45" spans="1:5" ht="17" customHeight="1" thickBot="1" x14ac:dyDescent="0.25">
      <c r="A45" s="175" t="s">
        <v>252</v>
      </c>
      <c r="B45" s="173">
        <f>5/37</f>
        <v>0.13513513513513514</v>
      </c>
      <c r="C45" s="173">
        <f>4/15</f>
        <v>0.26666666666666666</v>
      </c>
      <c r="D45" s="173">
        <f>1/9</f>
        <v>0.1111111111111111</v>
      </c>
      <c r="E45" s="183"/>
    </row>
    <row r="46" spans="1:5" ht="17" customHeight="1" thickBot="1" x14ac:dyDescent="0.25">
      <c r="A46" s="175" t="s">
        <v>253</v>
      </c>
      <c r="B46" s="173">
        <f>2/37</f>
        <v>5.4054054054054057E-2</v>
      </c>
      <c r="C46" s="173">
        <f>1/15</f>
        <v>6.6666666666666666E-2</v>
      </c>
      <c r="D46" s="173">
        <f>1/9</f>
        <v>0.1111111111111111</v>
      </c>
      <c r="E46" s="183"/>
    </row>
    <row r="47" spans="1:5" ht="17" customHeight="1" thickBot="1" x14ac:dyDescent="0.25">
      <c r="A47" s="175" t="s">
        <v>138</v>
      </c>
      <c r="B47" s="173">
        <f>SUM(B42:B46)</f>
        <v>1</v>
      </c>
      <c r="C47" s="173">
        <f>SUM(C42:C46)</f>
        <v>1</v>
      </c>
      <c r="D47" s="173">
        <f>SUM(D42:D46)</f>
        <v>1</v>
      </c>
      <c r="E47" s="183"/>
    </row>
    <row r="48" spans="1:5" ht="17" customHeight="1" x14ac:dyDescent="0.2">
      <c r="A48" s="174"/>
      <c r="B48" s="130"/>
      <c r="C48" s="130"/>
      <c r="D48" s="130"/>
      <c r="E48" s="183"/>
    </row>
    <row r="49" spans="1:5" ht="24" customHeight="1" thickBot="1" x14ac:dyDescent="0.25">
      <c r="A49" s="127" t="s">
        <v>311</v>
      </c>
      <c r="B49" s="127" t="s">
        <v>328</v>
      </c>
      <c r="C49" s="127" t="s">
        <v>326</v>
      </c>
      <c r="D49" s="127" t="s">
        <v>327</v>
      </c>
      <c r="E49" s="180"/>
    </row>
    <row r="50" spans="1:5" ht="17" customHeight="1" thickBot="1" x14ac:dyDescent="0.25">
      <c r="A50" s="175" t="s">
        <v>249</v>
      </c>
      <c r="B50" s="173">
        <f>17/37</f>
        <v>0.45945945945945948</v>
      </c>
      <c r="C50" s="173">
        <f>4/15</f>
        <v>0.26666666666666666</v>
      </c>
      <c r="D50" s="173">
        <f>2/9</f>
        <v>0.22222222222222221</v>
      </c>
      <c r="E50" s="183"/>
    </row>
    <row r="51" spans="1:5" ht="17" customHeight="1" thickBot="1" x14ac:dyDescent="0.25">
      <c r="A51" s="175" t="s">
        <v>250</v>
      </c>
      <c r="B51" s="173">
        <f>17/37</f>
        <v>0.45945945945945948</v>
      </c>
      <c r="C51" s="173">
        <f>8/15</f>
        <v>0.53333333333333333</v>
      </c>
      <c r="D51" s="173">
        <f>4/9</f>
        <v>0.44444444444444442</v>
      </c>
      <c r="E51" s="183"/>
    </row>
    <row r="52" spans="1:5" ht="17" customHeight="1" thickBot="1" x14ac:dyDescent="0.25">
      <c r="A52" s="175" t="s">
        <v>251</v>
      </c>
      <c r="B52" s="173"/>
      <c r="C52" s="173">
        <f>2/15</f>
        <v>0.13333333333333333</v>
      </c>
      <c r="D52" s="173">
        <f>2/9</f>
        <v>0.22222222222222221</v>
      </c>
      <c r="E52" s="183"/>
    </row>
    <row r="53" spans="1:5" ht="17" customHeight="1" thickBot="1" x14ac:dyDescent="0.25">
      <c r="A53" s="175" t="s">
        <v>252</v>
      </c>
      <c r="B53" s="173">
        <f>2/37</f>
        <v>5.4054054054054057E-2</v>
      </c>
      <c r="C53" s="173">
        <f>1/15</f>
        <v>6.6666666666666666E-2</v>
      </c>
      <c r="D53" s="173">
        <f>1/9</f>
        <v>0.1111111111111111</v>
      </c>
      <c r="E53" s="183"/>
    </row>
    <row r="54" spans="1:5" ht="17" customHeight="1" thickBot="1" x14ac:dyDescent="0.25">
      <c r="A54" s="175" t="s">
        <v>253</v>
      </c>
      <c r="B54" s="173">
        <f>1/37</f>
        <v>2.7027027027027029E-2</v>
      </c>
      <c r="C54" s="173"/>
      <c r="D54" s="173"/>
      <c r="E54" s="183"/>
    </row>
    <row r="55" spans="1:5" ht="17" customHeight="1" thickBot="1" x14ac:dyDescent="0.25">
      <c r="A55" s="175" t="s">
        <v>138</v>
      </c>
      <c r="B55" s="173">
        <f>SUM(B50:B54)</f>
        <v>1</v>
      </c>
      <c r="C55" s="173">
        <f>SUM(C50:C54)</f>
        <v>1</v>
      </c>
      <c r="D55" s="173">
        <f>SUM(D50:D54)</f>
        <v>1</v>
      </c>
      <c r="E55" s="183"/>
    </row>
    <row r="56" spans="1:5" ht="17" customHeight="1" x14ac:dyDescent="0.2">
      <c r="A56" s="174"/>
      <c r="B56" s="131"/>
      <c r="C56" s="131"/>
      <c r="D56" s="131"/>
      <c r="E56" s="183"/>
    </row>
    <row r="57" spans="1:5" ht="24" customHeight="1" thickBot="1" x14ac:dyDescent="0.25">
      <c r="A57" s="127" t="s">
        <v>310</v>
      </c>
      <c r="B57" s="127" t="s">
        <v>328</v>
      </c>
      <c r="C57" s="127" t="s">
        <v>326</v>
      </c>
      <c r="D57" s="127" t="s">
        <v>327</v>
      </c>
      <c r="E57" s="180"/>
    </row>
    <row r="58" spans="1:5" ht="17" customHeight="1" thickBot="1" x14ac:dyDescent="0.25">
      <c r="A58" s="175" t="s">
        <v>249</v>
      </c>
      <c r="B58" s="173">
        <f>25/37</f>
        <v>0.67567567567567566</v>
      </c>
      <c r="C58" s="173">
        <f>12/15</f>
        <v>0.8</v>
      </c>
      <c r="D58" s="173">
        <f>3/9</f>
        <v>0.33333333333333331</v>
      </c>
      <c r="E58" s="183"/>
    </row>
    <row r="59" spans="1:5" ht="17" customHeight="1" thickBot="1" x14ac:dyDescent="0.25">
      <c r="A59" s="175" t="s">
        <v>250</v>
      </c>
      <c r="B59" s="173">
        <f>10/37</f>
        <v>0.27027027027027029</v>
      </c>
      <c r="C59" s="173">
        <f>1/15</f>
        <v>6.6666666666666666E-2</v>
      </c>
      <c r="D59" s="173">
        <f>6/9</f>
        <v>0.66666666666666663</v>
      </c>
      <c r="E59" s="183"/>
    </row>
    <row r="60" spans="1:5" ht="17" customHeight="1" thickBot="1" x14ac:dyDescent="0.25">
      <c r="A60" s="175" t="s">
        <v>251</v>
      </c>
      <c r="B60" s="173">
        <f>1/37</f>
        <v>2.7027027027027029E-2</v>
      </c>
      <c r="C60" s="173">
        <f>2/15</f>
        <v>0.13333333333333333</v>
      </c>
      <c r="D60" s="173"/>
      <c r="E60" s="183"/>
    </row>
    <row r="61" spans="1:5" ht="17" customHeight="1" thickBot="1" x14ac:dyDescent="0.25">
      <c r="A61" s="175" t="s">
        <v>254</v>
      </c>
      <c r="B61" s="173">
        <f>1/37</f>
        <v>2.7027027027027029E-2</v>
      </c>
      <c r="C61" s="173"/>
      <c r="D61" s="173"/>
      <c r="E61" s="183"/>
    </row>
    <row r="62" spans="1:5" ht="17" customHeight="1" thickBot="1" x14ac:dyDescent="0.25">
      <c r="A62" s="175" t="s">
        <v>138</v>
      </c>
      <c r="B62" s="173">
        <f>SUM(B58:B61)</f>
        <v>1</v>
      </c>
      <c r="C62" s="173">
        <f>SUM(C58:C61)</f>
        <v>1</v>
      </c>
      <c r="D62" s="173">
        <f>SUM(D58:D61)</f>
        <v>1</v>
      </c>
      <c r="E62" s="183"/>
    </row>
    <row r="63" spans="1:5" x14ac:dyDescent="0.2">
      <c r="A63" s="176"/>
      <c r="B63" s="176"/>
      <c r="C63" s="176"/>
      <c r="D63" s="176"/>
      <c r="E63" s="183"/>
    </row>
    <row r="64" spans="1:5" ht="20" customHeight="1" x14ac:dyDescent="0.2">
      <c r="A64" s="177" t="s">
        <v>333</v>
      </c>
      <c r="B64" s="177"/>
      <c r="C64" s="177"/>
      <c r="D64" s="177"/>
      <c r="E64" s="183"/>
    </row>
    <row r="65" spans="1:5" x14ac:dyDescent="0.2">
      <c r="A65" s="174"/>
      <c r="B65" s="131"/>
      <c r="C65" s="131"/>
      <c r="D65" s="131"/>
      <c r="E65" s="183"/>
    </row>
    <row r="66" spans="1:5" ht="29" thickBot="1" x14ac:dyDescent="0.25">
      <c r="A66" s="127" t="s">
        <v>334</v>
      </c>
      <c r="B66" s="127" t="s">
        <v>266</v>
      </c>
      <c r="C66" s="127" t="s">
        <v>267</v>
      </c>
      <c r="D66" s="127" t="s">
        <v>268</v>
      </c>
      <c r="E66" s="180"/>
    </row>
    <row r="67" spans="1:5" ht="17" customHeight="1" thickBot="1" x14ac:dyDescent="0.25">
      <c r="A67" s="175" t="s">
        <v>227</v>
      </c>
      <c r="B67" s="173">
        <f>34/50</f>
        <v>0.68</v>
      </c>
      <c r="C67" s="173">
        <f>10/16</f>
        <v>0.625</v>
      </c>
      <c r="D67" s="173">
        <f>9/11</f>
        <v>0.81818181818181823</v>
      </c>
      <c r="E67" s="183"/>
    </row>
    <row r="68" spans="1:5" ht="17" customHeight="1" thickBot="1" x14ac:dyDescent="0.25">
      <c r="A68" s="175" t="s">
        <v>232</v>
      </c>
      <c r="B68" s="173">
        <f>2/50</f>
        <v>0.04</v>
      </c>
      <c r="C68" s="173">
        <f>1/16</f>
        <v>6.25E-2</v>
      </c>
      <c r="D68" s="173">
        <f>1/11</f>
        <v>9.0909090909090912E-2</v>
      </c>
      <c r="E68" s="183"/>
    </row>
    <row r="69" spans="1:5" ht="17" customHeight="1" thickBot="1" x14ac:dyDescent="0.25">
      <c r="A69" s="175" t="s">
        <v>231</v>
      </c>
      <c r="B69" s="173">
        <f>14/50</f>
        <v>0.28000000000000003</v>
      </c>
      <c r="C69" s="173">
        <f>5/16</f>
        <v>0.3125</v>
      </c>
      <c r="D69" s="173">
        <f>1/11</f>
        <v>9.0909090909090912E-2</v>
      </c>
      <c r="E69" s="183"/>
    </row>
    <row r="70" spans="1:5" ht="17" customHeight="1" thickBot="1" x14ac:dyDescent="0.25">
      <c r="A70" s="175" t="s">
        <v>138</v>
      </c>
      <c r="B70" s="173">
        <f>SUM(B67:B69)</f>
        <v>1</v>
      </c>
      <c r="C70" s="173">
        <f t="shared" ref="C70:D70" si="1">SUM(C67:C69)</f>
        <v>1</v>
      </c>
      <c r="D70" s="173">
        <f t="shared" si="1"/>
        <v>1</v>
      </c>
      <c r="E70" s="183"/>
    </row>
    <row r="71" spans="1:5" ht="17" customHeight="1" x14ac:dyDescent="0.2">
      <c r="A71" s="174"/>
      <c r="B71" s="130"/>
      <c r="C71" s="130"/>
      <c r="D71" s="130"/>
      <c r="E71" s="183"/>
    </row>
    <row r="72" spans="1:5" ht="24" customHeight="1" thickBot="1" x14ac:dyDescent="0.25">
      <c r="A72" s="127" t="s">
        <v>309</v>
      </c>
      <c r="B72" s="127" t="s">
        <v>329</v>
      </c>
      <c r="C72" s="127" t="s">
        <v>330</v>
      </c>
      <c r="D72" s="127" t="s">
        <v>331</v>
      </c>
      <c r="E72" s="180"/>
    </row>
    <row r="73" spans="1:5" ht="17" customHeight="1" thickBot="1" x14ac:dyDescent="0.25">
      <c r="A73" s="175" t="s">
        <v>255</v>
      </c>
      <c r="B73" s="173">
        <f>2/16</f>
        <v>0.125</v>
      </c>
      <c r="C73" s="173"/>
      <c r="D73" s="173"/>
      <c r="E73" s="183"/>
    </row>
    <row r="74" spans="1:5" ht="17" customHeight="1" thickBot="1" x14ac:dyDescent="0.25">
      <c r="A74" s="175" t="s">
        <v>258</v>
      </c>
      <c r="B74" s="173">
        <f>3/16</f>
        <v>0.1875</v>
      </c>
      <c r="C74" s="173"/>
      <c r="D74" s="173"/>
      <c r="E74" s="183"/>
    </row>
    <row r="75" spans="1:5" ht="17" customHeight="1" thickBot="1" x14ac:dyDescent="0.25">
      <c r="A75" s="175" t="s">
        <v>256</v>
      </c>
      <c r="B75" s="173">
        <f>5/16</f>
        <v>0.3125</v>
      </c>
      <c r="C75" s="173">
        <f>4/6</f>
        <v>0.66666666666666663</v>
      </c>
      <c r="D75" s="173"/>
      <c r="E75" s="183"/>
    </row>
    <row r="76" spans="1:5" ht="17" customHeight="1" thickBot="1" x14ac:dyDescent="0.25">
      <c r="A76" s="175" t="s">
        <v>257</v>
      </c>
      <c r="B76" s="173">
        <f>3/16</f>
        <v>0.1875</v>
      </c>
      <c r="C76" s="173"/>
      <c r="D76" s="173"/>
      <c r="E76" s="183"/>
    </row>
    <row r="77" spans="1:5" ht="17" customHeight="1" thickBot="1" x14ac:dyDescent="0.25">
      <c r="A77" s="175" t="s">
        <v>248</v>
      </c>
      <c r="B77" s="173">
        <f>3/16</f>
        <v>0.1875</v>
      </c>
      <c r="C77" s="173">
        <f>2/6</f>
        <v>0.33333333333333331</v>
      </c>
      <c r="D77" s="173">
        <f>2/2</f>
        <v>1</v>
      </c>
      <c r="E77" s="183"/>
    </row>
    <row r="78" spans="1:5" ht="17" customHeight="1" thickBot="1" x14ac:dyDescent="0.25">
      <c r="A78" s="175" t="s">
        <v>138</v>
      </c>
      <c r="B78" s="173">
        <f>SUM(B73:B77)</f>
        <v>1</v>
      </c>
      <c r="C78" s="173">
        <f>SUM(C73:C77)</f>
        <v>1</v>
      </c>
      <c r="D78" s="173">
        <f>SUM(D73:D77)</f>
        <v>1</v>
      </c>
      <c r="E78" s="183"/>
    </row>
    <row r="79" spans="1:5" ht="17" customHeight="1" x14ac:dyDescent="0.2">
      <c r="A79" s="174"/>
      <c r="B79" s="130"/>
      <c r="C79" s="130"/>
      <c r="D79" s="130"/>
      <c r="E79" s="183"/>
    </row>
    <row r="80" spans="1:5" ht="24" customHeight="1" thickBot="1" x14ac:dyDescent="0.25">
      <c r="A80" s="127" t="s">
        <v>308</v>
      </c>
      <c r="B80" s="127" t="s">
        <v>329</v>
      </c>
      <c r="C80" s="127" t="s">
        <v>330</v>
      </c>
      <c r="D80" s="127" t="s">
        <v>331</v>
      </c>
      <c r="E80" s="180"/>
    </row>
    <row r="81" spans="1:5" ht="17" customHeight="1" thickBot="1" x14ac:dyDescent="0.25">
      <c r="A81" s="175" t="s">
        <v>259</v>
      </c>
      <c r="B81" s="173">
        <f>3/16</f>
        <v>0.1875</v>
      </c>
      <c r="C81" s="173">
        <f>1/6</f>
        <v>0.16666666666666666</v>
      </c>
      <c r="D81" s="173"/>
      <c r="E81" s="183"/>
    </row>
    <row r="82" spans="1:5" ht="17" customHeight="1" thickBot="1" x14ac:dyDescent="0.25">
      <c r="A82" s="175" t="s">
        <v>260</v>
      </c>
      <c r="B82" s="173">
        <f>2/16</f>
        <v>0.125</v>
      </c>
      <c r="C82" s="173"/>
      <c r="D82" s="173"/>
      <c r="E82" s="183"/>
    </row>
    <row r="83" spans="1:5" ht="17" customHeight="1" thickBot="1" x14ac:dyDescent="0.25">
      <c r="A83" s="175" t="s">
        <v>261</v>
      </c>
      <c r="B83" s="173">
        <f>1/16</f>
        <v>6.25E-2</v>
      </c>
      <c r="C83" s="173"/>
      <c r="D83" s="173"/>
      <c r="E83" s="183"/>
    </row>
    <row r="84" spans="1:5" ht="17" customHeight="1" thickBot="1" x14ac:dyDescent="0.25">
      <c r="A84" s="175" t="s">
        <v>262</v>
      </c>
      <c r="B84" s="173">
        <f>4/16</f>
        <v>0.25</v>
      </c>
      <c r="C84" s="173">
        <f>3/6</f>
        <v>0.5</v>
      </c>
      <c r="D84" s="173">
        <f>1/2</f>
        <v>0.5</v>
      </c>
      <c r="E84" s="183"/>
    </row>
    <row r="85" spans="1:5" ht="17" customHeight="1" thickBot="1" x14ac:dyDescent="0.25">
      <c r="A85" s="175" t="s">
        <v>263</v>
      </c>
      <c r="B85" s="173">
        <f>6/16</f>
        <v>0.375</v>
      </c>
      <c r="C85" s="173">
        <f>2/6</f>
        <v>0.33333333333333331</v>
      </c>
      <c r="D85" s="173">
        <f>1/2</f>
        <v>0.5</v>
      </c>
      <c r="E85" s="183"/>
    </row>
    <row r="86" spans="1:5" ht="17" customHeight="1" thickBot="1" x14ac:dyDescent="0.25">
      <c r="A86" s="175" t="s">
        <v>138</v>
      </c>
      <c r="B86" s="173">
        <f>SUM(B81:B85)</f>
        <v>1</v>
      </c>
      <c r="C86" s="173">
        <f>SUM(C81:C85)</f>
        <v>1</v>
      </c>
      <c r="D86" s="173">
        <f>SUM(D81:D85)</f>
        <v>1</v>
      </c>
      <c r="E86" s="183"/>
    </row>
    <row r="87" spans="1:5" ht="17" customHeight="1" x14ac:dyDescent="0.2">
      <c r="A87" s="174"/>
      <c r="B87" s="130"/>
      <c r="C87" s="130"/>
      <c r="D87" s="130"/>
      <c r="E87" s="183"/>
    </row>
    <row r="88" spans="1:5" ht="29" thickBot="1" x14ac:dyDescent="0.25">
      <c r="A88" s="127" t="s">
        <v>307</v>
      </c>
      <c r="B88" s="127" t="s">
        <v>329</v>
      </c>
      <c r="C88" s="127" t="s">
        <v>330</v>
      </c>
      <c r="D88" s="127" t="s">
        <v>331</v>
      </c>
      <c r="E88" s="180"/>
    </row>
    <row r="89" spans="1:5" ht="17" customHeight="1" thickBot="1" x14ac:dyDescent="0.25">
      <c r="A89" s="175" t="s">
        <v>264</v>
      </c>
      <c r="B89" s="173">
        <f>10/16</f>
        <v>0.625</v>
      </c>
      <c r="C89" s="173">
        <f>3/6</f>
        <v>0.5</v>
      </c>
      <c r="D89" s="173">
        <f>1/2</f>
        <v>0.5</v>
      </c>
    </row>
    <row r="90" spans="1:5" ht="17" customHeight="1" thickBot="1" x14ac:dyDescent="0.25">
      <c r="A90" s="175" t="s">
        <v>336</v>
      </c>
      <c r="B90" s="173">
        <f>5/16</f>
        <v>0.3125</v>
      </c>
      <c r="C90" s="173">
        <f>3/6</f>
        <v>0.5</v>
      </c>
      <c r="D90" s="173">
        <f>1/2</f>
        <v>0.5</v>
      </c>
    </row>
    <row r="91" spans="1:5" ht="17" customHeight="1" thickBot="1" x14ac:dyDescent="0.25">
      <c r="A91" s="175" t="s">
        <v>335</v>
      </c>
      <c r="B91" s="173"/>
      <c r="C91" s="173"/>
      <c r="D91" s="173"/>
    </row>
    <row r="92" spans="1:5" ht="17" customHeight="1" thickBot="1" x14ac:dyDescent="0.25">
      <c r="A92" s="175" t="s">
        <v>265</v>
      </c>
      <c r="B92" s="173">
        <f>1/16</f>
        <v>6.25E-2</v>
      </c>
      <c r="C92" s="173"/>
      <c r="D92" s="173"/>
    </row>
    <row r="93" spans="1:5" ht="17" customHeight="1" thickBot="1" x14ac:dyDescent="0.25">
      <c r="A93" s="175" t="s">
        <v>138</v>
      </c>
      <c r="B93" s="173">
        <f>SUM(B89:B92)</f>
        <v>1</v>
      </c>
      <c r="C93" s="173">
        <f>SUM(C89:C92)</f>
        <v>1</v>
      </c>
      <c r="D93" s="173">
        <f>SUM(D89:D92)</f>
        <v>1</v>
      </c>
    </row>
  </sheetData>
  <mergeCells count="6">
    <mergeCell ref="A64:D64"/>
    <mergeCell ref="A8:D8"/>
    <mergeCell ref="B3:D3"/>
    <mergeCell ref="A6:D6"/>
    <mergeCell ref="B1:D2"/>
    <mergeCell ref="A1:A3"/>
  </mergeCells>
  <phoneticPr fontId="54" type="noConversion"/>
  <pageMargins left="0.7" right="0.7" top="0.75" bottom="0.75" header="0.3" footer="0.3"/>
  <pageSetup scale="39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N153"/>
  <sheetViews>
    <sheetView topLeftCell="E1" workbookViewId="0">
      <selection activeCell="M10" sqref="M10"/>
    </sheetView>
  </sheetViews>
  <sheetFormatPr baseColWidth="10" defaultColWidth="8.83203125" defaultRowHeight="15" x14ac:dyDescent="0.2"/>
  <cols>
    <col min="18" max="35" width="8.83203125" style="68"/>
  </cols>
  <sheetData>
    <row r="1" spans="1:92" s="4" customFormat="1" ht="17" customHeight="1" x14ac:dyDescent="0.2">
      <c r="A1" s="135" t="s">
        <v>203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18"/>
      <c r="S1" s="118"/>
      <c r="T1" s="118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</row>
    <row r="2" spans="1:92" s="4" customFormat="1" ht="61" customHeight="1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18"/>
      <c r="S2" s="118"/>
      <c r="T2" s="118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</row>
    <row r="3" spans="1:92" s="4" customFormat="1" ht="56" customHeight="1" x14ac:dyDescent="0.15">
      <c r="A3" s="136" t="s">
        <v>204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10"/>
      <c r="S3" s="110"/>
      <c r="T3" s="110"/>
      <c r="U3" s="2"/>
      <c r="V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</row>
    <row r="4" spans="1:92" s="6" customFormat="1" x14ac:dyDescent="0.2">
      <c r="Q4" s="98"/>
      <c r="R4" s="68"/>
      <c r="S4" s="68"/>
      <c r="T4" s="68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</row>
    <row r="5" spans="1:92" s="9" customFormat="1" ht="30" x14ac:dyDescent="0.3">
      <c r="A5" s="137" t="s">
        <v>153</v>
      </c>
      <c r="B5" s="137"/>
      <c r="C5" s="137"/>
      <c r="D5" s="137"/>
      <c r="E5" s="137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85"/>
      <c r="R5" s="68"/>
      <c r="S5" s="68"/>
      <c r="T5" s="68"/>
      <c r="U5" s="8"/>
      <c r="V5" s="8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10" spans="1:92" x14ac:dyDescent="0.2">
      <c r="M10" t="s">
        <v>199</v>
      </c>
    </row>
    <row r="11" spans="1:92" x14ac:dyDescent="0.2">
      <c r="M11" t="s">
        <v>200</v>
      </c>
    </row>
    <row r="12" spans="1:92" x14ac:dyDescent="0.2">
      <c r="M12" t="s">
        <v>201</v>
      </c>
    </row>
    <row r="13" spans="1:92" x14ac:dyDescent="0.2">
      <c r="M13" t="s">
        <v>198</v>
      </c>
    </row>
    <row r="57" s="68" customFormat="1" x14ac:dyDescent="0.2"/>
    <row r="58" s="68" customFormat="1" x14ac:dyDescent="0.2"/>
    <row r="59" s="68" customFormat="1" x14ac:dyDescent="0.2"/>
    <row r="60" s="68" customFormat="1" x14ac:dyDescent="0.2"/>
    <row r="61" s="68" customFormat="1" x14ac:dyDescent="0.2"/>
    <row r="62" s="68" customFormat="1" x14ac:dyDescent="0.2"/>
    <row r="63" s="68" customFormat="1" x14ac:dyDescent="0.2"/>
    <row r="64" s="68" customFormat="1" x14ac:dyDescent="0.2"/>
    <row r="65" s="68" customFormat="1" x14ac:dyDescent="0.2"/>
    <row r="66" s="68" customFormat="1" x14ac:dyDescent="0.2"/>
    <row r="67" s="68" customFormat="1" x14ac:dyDescent="0.2"/>
    <row r="68" s="68" customFormat="1" x14ac:dyDescent="0.2"/>
    <row r="69" s="68" customFormat="1" x14ac:dyDescent="0.2"/>
    <row r="70" s="68" customFormat="1" x14ac:dyDescent="0.2"/>
    <row r="71" s="68" customFormat="1" x14ac:dyDescent="0.2"/>
    <row r="72" s="68" customFormat="1" x14ac:dyDescent="0.2"/>
    <row r="73" s="68" customFormat="1" x14ac:dyDescent="0.2"/>
    <row r="74" s="68" customFormat="1" x14ac:dyDescent="0.2"/>
    <row r="75" s="68" customFormat="1" x14ac:dyDescent="0.2"/>
    <row r="76" s="68" customFormat="1" x14ac:dyDescent="0.2"/>
    <row r="77" s="68" customFormat="1" x14ac:dyDescent="0.2"/>
    <row r="78" s="68" customFormat="1" x14ac:dyDescent="0.2"/>
    <row r="79" s="68" customFormat="1" x14ac:dyDescent="0.2"/>
    <row r="80" s="68" customFormat="1" x14ac:dyDescent="0.2"/>
    <row r="81" s="68" customFormat="1" x14ac:dyDescent="0.2"/>
    <row r="82" s="68" customFormat="1" x14ac:dyDescent="0.2"/>
    <row r="83" s="68" customFormat="1" x14ac:dyDescent="0.2"/>
    <row r="84" s="68" customFormat="1" x14ac:dyDescent="0.2"/>
    <row r="85" s="68" customFormat="1" x14ac:dyDescent="0.2"/>
    <row r="86" s="68" customFormat="1" x14ac:dyDescent="0.2"/>
    <row r="87" s="68" customFormat="1" x14ac:dyDescent="0.2"/>
    <row r="88" s="68" customFormat="1" x14ac:dyDescent="0.2"/>
    <row r="89" s="68" customFormat="1" x14ac:dyDescent="0.2"/>
    <row r="90" s="68" customFormat="1" x14ac:dyDescent="0.2"/>
    <row r="91" s="68" customFormat="1" x14ac:dyDescent="0.2"/>
    <row r="92" s="68" customFormat="1" x14ac:dyDescent="0.2"/>
    <row r="93" s="68" customFormat="1" x14ac:dyDescent="0.2"/>
    <row r="94" s="68" customFormat="1" x14ac:dyDescent="0.2"/>
    <row r="95" s="68" customFormat="1" x14ac:dyDescent="0.2"/>
    <row r="96" s="68" customFormat="1" x14ac:dyDescent="0.2"/>
    <row r="97" s="68" customFormat="1" x14ac:dyDescent="0.2"/>
    <row r="98" s="68" customFormat="1" x14ac:dyDescent="0.2"/>
    <row r="99" s="68" customFormat="1" x14ac:dyDescent="0.2"/>
    <row r="100" s="68" customFormat="1" x14ac:dyDescent="0.2"/>
    <row r="101" s="68" customFormat="1" x14ac:dyDescent="0.2"/>
    <row r="102" s="68" customFormat="1" x14ac:dyDescent="0.2"/>
    <row r="103" s="68" customFormat="1" x14ac:dyDescent="0.2"/>
    <row r="104" s="68" customFormat="1" x14ac:dyDescent="0.2"/>
    <row r="105" s="68" customFormat="1" x14ac:dyDescent="0.2"/>
    <row r="106" s="68" customFormat="1" x14ac:dyDescent="0.2"/>
    <row r="107" s="68" customFormat="1" x14ac:dyDescent="0.2"/>
    <row r="108" s="68" customFormat="1" x14ac:dyDescent="0.2"/>
    <row r="109" s="68" customFormat="1" x14ac:dyDescent="0.2"/>
    <row r="110" s="68" customFormat="1" x14ac:dyDescent="0.2"/>
    <row r="111" s="68" customFormat="1" x14ac:dyDescent="0.2"/>
    <row r="112" s="68" customFormat="1" x14ac:dyDescent="0.2"/>
    <row r="113" s="68" customFormat="1" x14ac:dyDescent="0.2"/>
    <row r="114" s="68" customFormat="1" x14ac:dyDescent="0.2"/>
    <row r="115" s="68" customFormat="1" x14ac:dyDescent="0.2"/>
    <row r="116" s="68" customFormat="1" x14ac:dyDescent="0.2"/>
    <row r="117" s="68" customFormat="1" x14ac:dyDescent="0.2"/>
    <row r="118" s="68" customFormat="1" x14ac:dyDescent="0.2"/>
    <row r="119" s="68" customFormat="1" x14ac:dyDescent="0.2"/>
    <row r="120" s="68" customFormat="1" x14ac:dyDescent="0.2"/>
    <row r="121" s="68" customFormat="1" x14ac:dyDescent="0.2"/>
    <row r="122" s="68" customFormat="1" x14ac:dyDescent="0.2"/>
    <row r="123" s="68" customFormat="1" x14ac:dyDescent="0.2"/>
    <row r="124" s="68" customFormat="1" x14ac:dyDescent="0.2"/>
    <row r="125" s="68" customFormat="1" x14ac:dyDescent="0.2"/>
    <row r="126" s="68" customFormat="1" x14ac:dyDescent="0.2"/>
    <row r="127" s="68" customFormat="1" x14ac:dyDescent="0.2"/>
    <row r="128" s="68" customFormat="1" x14ac:dyDescent="0.2"/>
    <row r="129" s="68" customFormat="1" x14ac:dyDescent="0.2"/>
    <row r="130" s="68" customFormat="1" x14ac:dyDescent="0.2"/>
    <row r="131" s="68" customFormat="1" x14ac:dyDescent="0.2"/>
    <row r="132" s="68" customFormat="1" x14ac:dyDescent="0.2"/>
    <row r="133" s="68" customFormat="1" x14ac:dyDescent="0.2"/>
    <row r="134" s="68" customFormat="1" x14ac:dyDescent="0.2"/>
    <row r="135" s="68" customFormat="1" x14ac:dyDescent="0.2"/>
    <row r="136" s="68" customFormat="1" x14ac:dyDescent="0.2"/>
    <row r="137" s="68" customFormat="1" x14ac:dyDescent="0.2"/>
    <row r="138" s="68" customFormat="1" x14ac:dyDescent="0.2"/>
    <row r="139" s="68" customFormat="1" x14ac:dyDescent="0.2"/>
    <row r="140" s="68" customFormat="1" x14ac:dyDescent="0.2"/>
    <row r="141" s="68" customFormat="1" x14ac:dyDescent="0.2"/>
    <row r="142" s="68" customFormat="1" x14ac:dyDescent="0.2"/>
    <row r="143" s="68" customFormat="1" x14ac:dyDescent="0.2"/>
    <row r="144" s="68" customFormat="1" x14ac:dyDescent="0.2"/>
    <row r="145" s="68" customFormat="1" x14ac:dyDescent="0.2"/>
    <row r="146" s="68" customFormat="1" x14ac:dyDescent="0.2"/>
    <row r="147" s="68" customFormat="1" x14ac:dyDescent="0.2"/>
    <row r="148" s="68" customFormat="1" x14ac:dyDescent="0.2"/>
    <row r="149" s="68" customFormat="1" x14ac:dyDescent="0.2"/>
    <row r="150" s="68" customFormat="1" x14ac:dyDescent="0.2"/>
    <row r="151" s="68" customFormat="1" x14ac:dyDescent="0.2"/>
    <row r="152" s="68" customFormat="1" x14ac:dyDescent="0.2"/>
    <row r="153" s="68" customFormat="1" x14ac:dyDescent="0.2"/>
  </sheetData>
  <mergeCells count="3">
    <mergeCell ref="A1:Q2"/>
    <mergeCell ref="A5:P5"/>
    <mergeCell ref="A3:Q3"/>
  </mergeCells>
  <pageMargins left="0.7" right="0.7" top="0.75" bottom="0.75" header="0.3" footer="0.3"/>
  <pageSetup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CR108"/>
  <sheetViews>
    <sheetView topLeftCell="A4" workbookViewId="0">
      <pane ySplit="11" topLeftCell="A15" activePane="bottomLeft" state="frozen"/>
      <selection activeCell="A4" sqref="A4"/>
      <selection pane="bottomLeft" activeCell="B10" sqref="B10"/>
    </sheetView>
  </sheetViews>
  <sheetFormatPr baseColWidth="10" defaultColWidth="8.83203125" defaultRowHeight="14" x14ac:dyDescent="0.15"/>
  <cols>
    <col min="1" max="1" width="49.83203125" style="10" bestFit="1" customWidth="1"/>
    <col min="2" max="2" width="8.83203125" style="43" customWidth="1"/>
    <col min="3" max="5" width="12.83203125" style="10" customWidth="1"/>
    <col min="6" max="6" width="6.83203125" style="10" customWidth="1"/>
    <col min="7" max="7" width="12.83203125" style="43" customWidth="1"/>
    <col min="8" max="9" width="12.83203125" style="10" customWidth="1"/>
    <col min="10" max="10" width="8.83203125" style="10" customWidth="1"/>
    <col min="11" max="11" width="7.6640625" style="10" bestFit="1" customWidth="1"/>
    <col min="12" max="12" width="12.83203125" style="43" customWidth="1"/>
    <col min="13" max="13" width="12.83203125" style="10" customWidth="1"/>
    <col min="14" max="14" width="8.83203125" style="10" customWidth="1"/>
    <col min="15" max="15" width="12.83203125" style="10" customWidth="1"/>
    <col min="16" max="16" width="10.33203125" style="10" customWidth="1"/>
    <col min="17" max="17" width="12.83203125" style="43" customWidth="1"/>
    <col min="18" max="18" width="10.83203125" style="10" customWidth="1"/>
    <col min="19" max="19" width="19.1640625" style="10" customWidth="1"/>
    <col min="20" max="20" width="20.1640625" style="10" customWidth="1"/>
    <col min="21" max="21" width="9.1640625" style="10" customWidth="1"/>
    <col min="22" max="22" width="10.1640625" style="10" customWidth="1"/>
    <col min="23" max="23" width="8.83203125" style="10" customWidth="1"/>
    <col min="24" max="26" width="16.33203125" style="10" bestFit="1" customWidth="1"/>
    <col min="27" max="27" width="8.83203125" style="10" customWidth="1"/>
    <col min="28" max="28" width="16.33203125" style="10" customWidth="1"/>
    <col min="29" max="29" width="16.33203125" style="10" bestFit="1" customWidth="1"/>
    <col min="30" max="30" width="16.33203125" style="10" customWidth="1"/>
    <col min="31" max="31" width="8.83203125" style="10" customWidth="1"/>
    <col min="32" max="32" width="16.33203125" style="10" customWidth="1"/>
    <col min="33" max="34" width="16.33203125" style="10" bestFit="1" customWidth="1"/>
    <col min="35" max="35" width="8.83203125" style="10" customWidth="1"/>
    <col min="36" max="38" width="16.33203125" style="10" bestFit="1" customWidth="1"/>
    <col min="39" max="16384" width="8.83203125" style="10"/>
  </cols>
  <sheetData>
    <row r="1" spans="1:96" s="4" customFormat="1" ht="17" customHeight="1" x14ac:dyDescent="0.15">
      <c r="A1" s="143"/>
      <c r="B1" s="135" t="s">
        <v>119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6" s="4" customFormat="1" ht="19.5" customHeight="1" x14ac:dyDescent="0.15">
      <c r="A2" s="143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6" s="4" customFormat="1" ht="30.5" customHeight="1" x14ac:dyDescent="0.15">
      <c r="A3" s="143"/>
      <c r="B3" s="153" t="s">
        <v>133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2"/>
      <c r="V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</row>
    <row r="4" spans="1:96" ht="14" customHeight="1" x14ac:dyDescent="0.1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97"/>
      <c r="V4" s="97"/>
      <c r="W4" s="97"/>
      <c r="X4" s="97"/>
      <c r="Y4" s="97"/>
    </row>
    <row r="5" spans="1:96" s="9" customFormat="1" ht="30" customHeight="1" x14ac:dyDescent="0.15">
      <c r="A5" s="151" t="s">
        <v>209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96"/>
      <c r="V5" s="96"/>
      <c r="W5" s="96"/>
      <c r="X5" s="96"/>
      <c r="Y5" s="96"/>
      <c r="AJ5" s="25"/>
      <c r="AK5" s="25"/>
      <c r="AL5" s="25"/>
      <c r="AM5" s="25"/>
    </row>
    <row r="6" spans="1:96" ht="45" customHeight="1" x14ac:dyDescent="0.15">
      <c r="A6" s="148" t="s">
        <v>197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96" ht="16" customHeight="1" x14ac:dyDescent="0.15">
      <c r="A7" s="11"/>
      <c r="B7" s="26"/>
      <c r="G7" s="26"/>
      <c r="L7" s="26"/>
      <c r="Q7" s="26"/>
    </row>
    <row r="8" spans="1:96" ht="16" customHeight="1" x14ac:dyDescent="0.15">
      <c r="A8" s="11"/>
      <c r="B8" s="26"/>
      <c r="G8" s="26"/>
      <c r="L8" s="26"/>
      <c r="Q8" s="26"/>
    </row>
    <row r="9" spans="1:96" ht="16" customHeight="1" x14ac:dyDescent="0.15">
      <c r="A9" s="27" t="s">
        <v>54</v>
      </c>
      <c r="B9" s="26"/>
      <c r="G9" s="26"/>
      <c r="L9" s="26"/>
      <c r="Q9" s="26"/>
    </row>
    <row r="10" spans="1:96" ht="16" customHeight="1" x14ac:dyDescent="0.15">
      <c r="A10" s="22" t="s">
        <v>58</v>
      </c>
      <c r="B10" s="26"/>
      <c r="G10" s="26"/>
      <c r="L10" s="26"/>
      <c r="Q10" s="26"/>
    </row>
    <row r="11" spans="1:96" ht="16" customHeight="1" x14ac:dyDescent="0.15">
      <c r="A11" s="28" t="s">
        <v>59</v>
      </c>
      <c r="B11" s="26"/>
      <c r="G11" s="26"/>
      <c r="L11" s="26"/>
      <c r="Q11" s="26"/>
    </row>
    <row r="12" spans="1:96" ht="16" customHeight="1" x14ac:dyDescent="0.15">
      <c r="A12" s="93" t="s">
        <v>60</v>
      </c>
      <c r="B12" s="26"/>
      <c r="G12" s="26"/>
      <c r="L12" s="26"/>
      <c r="Q12" s="26"/>
    </row>
    <row r="13" spans="1:96" ht="16" customHeight="1" x14ac:dyDescent="0.15">
      <c r="A13" s="11"/>
      <c r="B13" s="26"/>
      <c r="G13" s="26"/>
      <c r="L13" s="26"/>
      <c r="Q13" s="26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96" ht="16" customHeight="1" thickBot="1" x14ac:dyDescent="0.25">
      <c r="A14" s="47" t="s">
        <v>109</v>
      </c>
      <c r="B14" s="164" t="s">
        <v>154</v>
      </c>
      <c r="C14" s="164"/>
      <c r="D14" s="164"/>
      <c r="E14" s="164"/>
      <c r="F14" s="105"/>
      <c r="G14" s="158" t="s">
        <v>155</v>
      </c>
      <c r="H14" s="162"/>
      <c r="I14" s="162"/>
      <c r="J14" s="162"/>
      <c r="K14" s="82"/>
      <c r="L14" s="163" t="s">
        <v>156</v>
      </c>
      <c r="M14" s="162"/>
      <c r="N14" s="162"/>
      <c r="O14" s="162"/>
      <c r="P14" s="86"/>
      <c r="Q14" s="158" t="s">
        <v>195</v>
      </c>
      <c r="R14" s="159"/>
      <c r="S14" s="159"/>
      <c r="T14" s="159"/>
      <c r="U14" s="106"/>
      <c r="V14" s="158" t="s">
        <v>194</v>
      </c>
      <c r="W14" s="159"/>
      <c r="X14" s="159"/>
      <c r="Y14" s="159"/>
    </row>
    <row r="15" spans="1:96" ht="16" customHeight="1" thickBot="1" x14ac:dyDescent="0.2">
      <c r="A15" s="14" t="s">
        <v>103</v>
      </c>
      <c r="B15" s="31" t="s">
        <v>50</v>
      </c>
      <c r="C15" s="31">
        <v>2016</v>
      </c>
      <c r="D15" s="31">
        <v>2015</v>
      </c>
      <c r="E15" s="99">
        <v>2014</v>
      </c>
      <c r="F15" s="107"/>
      <c r="G15" s="100" t="s">
        <v>50</v>
      </c>
      <c r="H15" s="31">
        <v>2016</v>
      </c>
      <c r="I15" s="31">
        <v>2015</v>
      </c>
      <c r="J15" s="31">
        <v>2014</v>
      </c>
      <c r="K15" s="107"/>
      <c r="L15" s="31" t="s">
        <v>50</v>
      </c>
      <c r="M15" s="31">
        <v>2016</v>
      </c>
      <c r="N15" s="31">
        <v>2015</v>
      </c>
      <c r="O15" s="31">
        <v>2014</v>
      </c>
      <c r="P15" s="107"/>
      <c r="Q15" s="31" t="s">
        <v>50</v>
      </c>
      <c r="R15" s="31">
        <v>2016</v>
      </c>
      <c r="S15" s="31">
        <v>2015</v>
      </c>
      <c r="T15" s="31">
        <v>2014</v>
      </c>
      <c r="U15" s="107"/>
      <c r="V15" s="31" t="s">
        <v>50</v>
      </c>
      <c r="W15" s="31">
        <v>2016</v>
      </c>
      <c r="X15" s="31">
        <v>2015</v>
      </c>
      <c r="Y15" s="31">
        <v>2014</v>
      </c>
    </row>
    <row r="16" spans="1:96" ht="16" customHeight="1" thickBot="1" x14ac:dyDescent="0.2">
      <c r="A16" s="16" t="s">
        <v>99</v>
      </c>
      <c r="B16" s="90"/>
      <c r="C16" s="75"/>
      <c r="D16" s="75" t="s">
        <v>30</v>
      </c>
      <c r="E16" s="75">
        <v>141731.31999999998</v>
      </c>
      <c r="F16" s="107"/>
      <c r="G16" s="101"/>
      <c r="H16" s="48"/>
      <c r="I16" s="48" t="s">
        <v>30</v>
      </c>
      <c r="J16" s="48" t="s">
        <v>30</v>
      </c>
      <c r="K16" s="107"/>
      <c r="L16" s="90"/>
      <c r="M16" s="48"/>
      <c r="N16" s="48" t="s">
        <v>30</v>
      </c>
      <c r="O16" s="48">
        <v>116527.91500000001</v>
      </c>
      <c r="P16" s="107"/>
      <c r="Q16" s="92" t="s">
        <v>51</v>
      </c>
      <c r="R16" s="78"/>
      <c r="S16" s="78">
        <v>285125.40000000002</v>
      </c>
      <c r="T16" s="78">
        <v>248226.73</v>
      </c>
      <c r="U16" s="107"/>
      <c r="V16" s="91" t="s">
        <v>53</v>
      </c>
      <c r="W16" s="94"/>
      <c r="X16" s="94">
        <v>77216.722000000009</v>
      </c>
      <c r="Y16" s="94">
        <v>99007.341</v>
      </c>
    </row>
    <row r="17" spans="1:25" ht="16" customHeight="1" thickBot="1" x14ac:dyDescent="0.2">
      <c r="A17" s="16" t="s">
        <v>1</v>
      </c>
      <c r="B17" s="91" t="s">
        <v>53</v>
      </c>
      <c r="C17" s="75"/>
      <c r="D17" s="75">
        <v>68048.980500000005</v>
      </c>
      <c r="E17" s="75">
        <v>71996.494999999995</v>
      </c>
      <c r="F17" s="107"/>
      <c r="G17" s="102" t="s">
        <v>53</v>
      </c>
      <c r="H17" s="48"/>
      <c r="I17" s="48">
        <v>127171.62</v>
      </c>
      <c r="J17" s="48">
        <v>153171.72</v>
      </c>
      <c r="K17" s="107"/>
      <c r="L17" s="90"/>
      <c r="M17" s="48"/>
      <c r="N17" s="48" t="s">
        <v>30</v>
      </c>
      <c r="O17" s="48">
        <v>94437.315000000002</v>
      </c>
      <c r="P17" s="107"/>
      <c r="Q17" s="91" t="s">
        <v>53</v>
      </c>
      <c r="R17" s="78"/>
      <c r="S17" s="78">
        <v>151733.4</v>
      </c>
      <c r="T17" s="78">
        <v>201169.53000000003</v>
      </c>
      <c r="U17" s="107"/>
      <c r="V17" s="90"/>
      <c r="W17" s="94"/>
      <c r="X17" s="94">
        <v>55949.404500000004</v>
      </c>
      <c r="Y17" s="94" t="s">
        <v>30</v>
      </c>
    </row>
    <row r="18" spans="1:25" ht="16" customHeight="1" thickBot="1" x14ac:dyDescent="0.2">
      <c r="A18" s="16" t="s">
        <v>2</v>
      </c>
      <c r="B18" s="92" t="s">
        <v>51</v>
      </c>
      <c r="C18" s="75"/>
      <c r="D18" s="75">
        <v>59035.870499999997</v>
      </c>
      <c r="E18" s="75">
        <v>41840.894999999997</v>
      </c>
      <c r="F18" s="107"/>
      <c r="G18" s="103" t="s">
        <v>51</v>
      </c>
      <c r="H18" s="48"/>
      <c r="I18" s="48">
        <v>100538.81999999999</v>
      </c>
      <c r="J18" s="48">
        <v>83800.47</v>
      </c>
      <c r="K18" s="107"/>
      <c r="L18" s="90"/>
      <c r="M18" s="48"/>
      <c r="N18" s="48" t="s">
        <v>30</v>
      </c>
      <c r="O18" s="48">
        <v>72346.714999999997</v>
      </c>
      <c r="P18" s="107"/>
      <c r="Q18" s="92" t="s">
        <v>51</v>
      </c>
      <c r="R18" s="78"/>
      <c r="S18" s="78">
        <v>118385.4</v>
      </c>
      <c r="T18" s="78">
        <v>107055.13</v>
      </c>
      <c r="U18" s="107"/>
      <c r="V18" s="90"/>
      <c r="W18" s="94"/>
      <c r="X18" s="94">
        <v>29774.244500000001</v>
      </c>
      <c r="Y18" s="94" t="s">
        <v>30</v>
      </c>
    </row>
    <row r="19" spans="1:25" ht="16" customHeight="1" thickBot="1" x14ac:dyDescent="0.2">
      <c r="A19" s="16" t="s">
        <v>3</v>
      </c>
      <c r="B19" s="91" t="s">
        <v>53</v>
      </c>
      <c r="C19" s="75"/>
      <c r="D19" s="75">
        <v>50022.760499999997</v>
      </c>
      <c r="E19" s="75">
        <v>64457.594999999994</v>
      </c>
      <c r="F19" s="107"/>
      <c r="G19" s="103" t="s">
        <v>51</v>
      </c>
      <c r="H19" s="48"/>
      <c r="I19" s="48">
        <v>100538.81999999999</v>
      </c>
      <c r="J19" s="48">
        <v>94899.87</v>
      </c>
      <c r="K19" s="107"/>
      <c r="L19" s="92" t="s">
        <v>51</v>
      </c>
      <c r="M19" s="48"/>
      <c r="N19" s="48">
        <v>122095.79499999998</v>
      </c>
      <c r="O19" s="48">
        <v>116527.91500000001</v>
      </c>
      <c r="P19" s="107"/>
      <c r="Q19" s="90"/>
      <c r="R19" s="78"/>
      <c r="S19" s="78" t="s">
        <v>30</v>
      </c>
      <c r="T19" s="79" t="s">
        <v>30</v>
      </c>
      <c r="U19" s="107"/>
      <c r="V19" s="90"/>
      <c r="W19" s="94"/>
      <c r="X19" s="94">
        <v>29774.244500000001</v>
      </c>
      <c r="Y19" s="94" t="s">
        <v>30</v>
      </c>
    </row>
    <row r="20" spans="1:25" ht="16" customHeight="1" thickBot="1" x14ac:dyDescent="0.2">
      <c r="A20" s="16" t="s">
        <v>69</v>
      </c>
      <c r="B20" s="90"/>
      <c r="C20" s="75"/>
      <c r="D20" s="75" t="s">
        <v>30</v>
      </c>
      <c r="E20" s="75">
        <v>71996.494999999995</v>
      </c>
      <c r="F20" s="107"/>
      <c r="G20" s="103" t="s">
        <v>51</v>
      </c>
      <c r="H20" s="48"/>
      <c r="I20" s="48">
        <v>157133.51999999999</v>
      </c>
      <c r="J20" s="48">
        <v>153171.72</v>
      </c>
      <c r="K20" s="107"/>
      <c r="L20" s="91" t="s">
        <v>53</v>
      </c>
      <c r="M20" s="48"/>
      <c r="N20" s="48">
        <v>83741.094999999987</v>
      </c>
      <c r="O20" s="48">
        <v>94437.315000000002</v>
      </c>
      <c r="P20" s="107"/>
      <c r="Q20" s="90"/>
      <c r="R20" s="78"/>
      <c r="S20" s="78" t="s">
        <v>30</v>
      </c>
      <c r="T20" s="78">
        <v>130583.73000000001</v>
      </c>
      <c r="U20" s="107"/>
      <c r="V20" s="92" t="s">
        <v>51</v>
      </c>
      <c r="W20" s="94"/>
      <c r="X20" s="94">
        <v>90304.302000000011</v>
      </c>
      <c r="Y20" s="94">
        <v>64081.438500000004</v>
      </c>
    </row>
    <row r="21" spans="1:25" ht="16" customHeight="1" thickBot="1" x14ac:dyDescent="0.2">
      <c r="A21" s="16" t="s">
        <v>100</v>
      </c>
      <c r="B21" s="91" t="s">
        <v>53</v>
      </c>
      <c r="C21" s="75"/>
      <c r="D21" s="75">
        <v>50022.760499999997</v>
      </c>
      <c r="E21" s="75">
        <v>56918.695</v>
      </c>
      <c r="F21" s="107"/>
      <c r="G21" s="103" t="s">
        <v>51</v>
      </c>
      <c r="H21" s="48"/>
      <c r="I21" s="48">
        <v>113855.22</v>
      </c>
      <c r="J21" s="48">
        <v>83800.47</v>
      </c>
      <c r="K21" s="107"/>
      <c r="L21" s="91" t="s">
        <v>53</v>
      </c>
      <c r="M21" s="48"/>
      <c r="N21" s="48">
        <v>83741.094999999987</v>
      </c>
      <c r="O21" s="48">
        <v>105482.61500000001</v>
      </c>
      <c r="P21" s="107"/>
      <c r="Q21" s="92" t="s">
        <v>51</v>
      </c>
      <c r="R21" s="78"/>
      <c r="S21" s="78">
        <v>151733.4</v>
      </c>
      <c r="T21" s="78">
        <v>107055.13</v>
      </c>
      <c r="U21" s="107"/>
      <c r="V21" s="92" t="s">
        <v>51</v>
      </c>
      <c r="W21" s="94"/>
      <c r="X21" s="94">
        <v>55949.404500000004</v>
      </c>
      <c r="Y21" s="94">
        <v>45859.228500000005</v>
      </c>
    </row>
    <row r="22" spans="1:25" ht="16" customHeight="1" thickBot="1" x14ac:dyDescent="0.2">
      <c r="A22" s="16" t="s">
        <v>98</v>
      </c>
      <c r="B22" s="92" t="s">
        <v>51</v>
      </c>
      <c r="C22" s="75"/>
      <c r="D22" s="75">
        <v>50022.760499999997</v>
      </c>
      <c r="E22" s="75">
        <v>41840.894999999997</v>
      </c>
      <c r="F22" s="107"/>
      <c r="G22" s="103" t="s">
        <v>51</v>
      </c>
      <c r="H22" s="48"/>
      <c r="I22" s="48">
        <v>87222.42</v>
      </c>
      <c r="J22" s="48">
        <v>72701.069999999992</v>
      </c>
      <c r="K22" s="107"/>
      <c r="L22" s="92" t="s">
        <v>51</v>
      </c>
      <c r="M22" s="48"/>
      <c r="N22" s="48">
        <v>70956.194999999992</v>
      </c>
      <c r="O22" s="48">
        <v>61301.415000000001</v>
      </c>
      <c r="P22" s="107"/>
      <c r="Q22" s="91" t="s">
        <v>53</v>
      </c>
      <c r="R22" s="78"/>
      <c r="S22" s="78">
        <v>50022</v>
      </c>
      <c r="T22" s="78">
        <v>83526.530000000013</v>
      </c>
      <c r="U22" s="107"/>
      <c r="V22" s="37" t="s">
        <v>53</v>
      </c>
      <c r="W22" s="94"/>
      <c r="X22" s="94">
        <v>29774.244500000001</v>
      </c>
      <c r="Y22" s="94">
        <v>39785.158500000005</v>
      </c>
    </row>
    <row r="23" spans="1:25" ht="16" customHeight="1" thickBot="1" x14ac:dyDescent="0.2">
      <c r="A23" s="16" t="s">
        <v>4</v>
      </c>
      <c r="B23" s="90"/>
      <c r="C23" s="75"/>
      <c r="D23" s="75">
        <v>41009.650499999996</v>
      </c>
      <c r="E23" s="75" t="s">
        <v>30</v>
      </c>
      <c r="F23" s="107"/>
      <c r="G23" s="93" t="s">
        <v>52</v>
      </c>
      <c r="H23" s="48"/>
      <c r="I23" s="48">
        <v>60589.619999999995</v>
      </c>
      <c r="J23" s="48">
        <v>61601.67</v>
      </c>
      <c r="K23" s="107"/>
      <c r="L23" s="92" t="s">
        <v>51</v>
      </c>
      <c r="M23" s="48"/>
      <c r="N23" s="48">
        <v>45386.394999999997</v>
      </c>
      <c r="O23" s="48">
        <v>39210.815000000002</v>
      </c>
      <c r="P23" s="107"/>
      <c r="Q23" s="92" t="s">
        <v>51</v>
      </c>
      <c r="R23" s="78"/>
      <c r="S23" s="78">
        <v>50022</v>
      </c>
      <c r="T23" s="78">
        <v>35292.9</v>
      </c>
      <c r="U23" s="107"/>
      <c r="V23" s="92" t="s">
        <v>51</v>
      </c>
      <c r="W23" s="94"/>
      <c r="X23" s="94">
        <v>29774.244500000001</v>
      </c>
      <c r="Y23" s="94">
        <v>27637.018500000002</v>
      </c>
    </row>
    <row r="24" spans="1:25" ht="16" customHeight="1" thickBot="1" x14ac:dyDescent="0.2">
      <c r="A24" s="18" t="s">
        <v>5</v>
      </c>
      <c r="B24" s="14"/>
      <c r="C24" s="50"/>
      <c r="D24" s="50"/>
      <c r="E24" s="50"/>
      <c r="F24" s="107"/>
      <c r="G24" s="104"/>
      <c r="H24" s="50"/>
      <c r="I24" s="50"/>
      <c r="J24" s="50"/>
      <c r="K24" s="107"/>
      <c r="L24" s="50"/>
      <c r="M24" s="50"/>
      <c r="N24" s="50"/>
      <c r="O24" s="50"/>
      <c r="P24" s="107"/>
      <c r="Q24" s="50"/>
      <c r="R24" s="50"/>
      <c r="S24" s="50"/>
      <c r="T24" s="50"/>
      <c r="U24" s="107"/>
      <c r="V24" s="50"/>
      <c r="W24" s="50"/>
      <c r="X24" s="50"/>
      <c r="Y24" s="50"/>
    </row>
    <row r="25" spans="1:25" ht="16" customHeight="1" thickBot="1" x14ac:dyDescent="0.2">
      <c r="A25" s="16" t="s">
        <v>106</v>
      </c>
      <c r="B25" s="92" t="s">
        <v>51</v>
      </c>
      <c r="C25" s="75"/>
      <c r="D25" s="75">
        <v>169446.46799999999</v>
      </c>
      <c r="E25" s="75">
        <v>122884.06999999999</v>
      </c>
      <c r="F25" s="107"/>
      <c r="G25" s="103" t="s">
        <v>51</v>
      </c>
      <c r="H25" s="48"/>
      <c r="I25" s="48">
        <v>183766.31999999998</v>
      </c>
      <c r="J25" s="48">
        <v>180920.22</v>
      </c>
      <c r="K25" s="107"/>
      <c r="L25" s="91" t="s">
        <v>53</v>
      </c>
      <c r="M25" s="48"/>
      <c r="N25" s="48">
        <v>150861.81999999998</v>
      </c>
      <c r="O25" s="48">
        <v>180038.39</v>
      </c>
      <c r="P25" s="107"/>
      <c r="Q25" s="92" t="s">
        <v>51</v>
      </c>
      <c r="R25" s="78"/>
      <c r="S25" s="78">
        <v>460202.4</v>
      </c>
      <c r="T25" s="78">
        <v>324694.68000000005</v>
      </c>
      <c r="U25" s="107"/>
      <c r="V25" s="37" t="s">
        <v>53</v>
      </c>
      <c r="W25" s="94"/>
      <c r="X25" s="94">
        <v>123023.25200000001</v>
      </c>
      <c r="Y25" s="94">
        <v>136970.27850000001</v>
      </c>
    </row>
    <row r="26" spans="1:25" ht="16" customHeight="1" thickBot="1" x14ac:dyDescent="0.2">
      <c r="A26" s="16" t="s">
        <v>71</v>
      </c>
      <c r="B26" s="92" t="s">
        <v>51</v>
      </c>
      <c r="C26" s="75"/>
      <c r="D26" s="75">
        <v>169446.46799999999</v>
      </c>
      <c r="E26" s="75" t="s">
        <v>30</v>
      </c>
      <c r="F26" s="107"/>
      <c r="G26" s="101"/>
      <c r="H26" s="48"/>
      <c r="I26" s="48" t="s">
        <v>30</v>
      </c>
      <c r="J26" s="48">
        <v>180920.22</v>
      </c>
      <c r="K26" s="107"/>
      <c r="L26" s="90"/>
      <c r="M26" s="48"/>
      <c r="N26" s="48" t="s">
        <v>130</v>
      </c>
      <c r="O26" s="48" t="s">
        <v>30</v>
      </c>
      <c r="P26" s="107"/>
      <c r="Q26" s="92" t="s">
        <v>51</v>
      </c>
      <c r="R26" s="78"/>
      <c r="S26" s="78">
        <v>251777.4</v>
      </c>
      <c r="T26" s="78">
        <v>248226.73</v>
      </c>
      <c r="U26" s="107"/>
      <c r="V26" s="92" t="s">
        <v>51</v>
      </c>
      <c r="W26" s="94"/>
      <c r="X26" s="94">
        <v>147562.4645</v>
      </c>
      <c r="Y26" s="94">
        <v>83822.165999999997</v>
      </c>
    </row>
    <row r="27" spans="1:25" ht="16" customHeight="1" thickBot="1" x14ac:dyDescent="0.2">
      <c r="A27" s="16" t="s">
        <v>70</v>
      </c>
      <c r="B27" s="92" t="s">
        <v>51</v>
      </c>
      <c r="C27" s="75"/>
      <c r="D27" s="75">
        <v>169446.46799999999</v>
      </c>
      <c r="E27" s="75" t="s">
        <v>30</v>
      </c>
      <c r="F27" s="107"/>
      <c r="G27" s="102" t="s">
        <v>53</v>
      </c>
      <c r="H27" s="48"/>
      <c r="I27" s="48">
        <v>113855.22</v>
      </c>
      <c r="J27" s="48">
        <v>130972.92</v>
      </c>
      <c r="K27" s="107"/>
      <c r="L27" s="90"/>
      <c r="M27" s="48"/>
      <c r="N27" s="48" t="s">
        <v>130</v>
      </c>
      <c r="O27" s="48" t="s">
        <v>30</v>
      </c>
      <c r="P27" s="107"/>
      <c r="Q27" s="92" t="s">
        <v>51</v>
      </c>
      <c r="R27" s="78"/>
      <c r="S27" s="78">
        <v>251777.4</v>
      </c>
      <c r="T27" s="78">
        <v>201169.53000000003</v>
      </c>
      <c r="U27" s="107"/>
      <c r="V27" s="92" t="s">
        <v>51</v>
      </c>
      <c r="W27" s="94"/>
      <c r="X27" s="94">
        <v>123023.25200000001</v>
      </c>
      <c r="Y27" s="94">
        <v>51933.298500000004</v>
      </c>
    </row>
    <row r="28" spans="1:25" ht="16" customHeight="1" thickBot="1" x14ac:dyDescent="0.2">
      <c r="A28" s="16" t="s">
        <v>6</v>
      </c>
      <c r="B28" s="91" t="s">
        <v>53</v>
      </c>
      <c r="C28" s="75"/>
      <c r="D28" s="75">
        <v>59035.870499999997</v>
      </c>
      <c r="E28" s="75">
        <v>64457.594999999994</v>
      </c>
      <c r="F28" s="107"/>
      <c r="G28" s="103" t="s">
        <v>51</v>
      </c>
      <c r="H28" s="48"/>
      <c r="I28" s="48">
        <v>127171.62</v>
      </c>
      <c r="J28" s="48">
        <v>105999.26999999999</v>
      </c>
      <c r="K28" s="107"/>
      <c r="L28" s="91" t="s">
        <v>53</v>
      </c>
      <c r="M28" s="48"/>
      <c r="N28" s="48">
        <v>83741.094999999987</v>
      </c>
      <c r="O28" s="48">
        <v>94437.315000000002</v>
      </c>
      <c r="P28" s="107"/>
      <c r="Q28" s="91" t="s">
        <v>53</v>
      </c>
      <c r="R28" s="78"/>
      <c r="S28" s="78">
        <v>151733.4</v>
      </c>
      <c r="T28" s="78">
        <v>177640.93000000002</v>
      </c>
      <c r="U28" s="107"/>
      <c r="V28" s="92" t="s">
        <v>51</v>
      </c>
      <c r="W28" s="94"/>
      <c r="X28" s="94">
        <v>55949.404500000004</v>
      </c>
      <c r="Y28" s="94">
        <v>45859.228500000005</v>
      </c>
    </row>
    <row r="29" spans="1:25" ht="16" customHeight="1" thickBot="1" x14ac:dyDescent="0.2">
      <c r="A29" s="16" t="s">
        <v>92</v>
      </c>
      <c r="B29" s="90"/>
      <c r="C29" s="75"/>
      <c r="D29" s="75">
        <v>68048.980500000005</v>
      </c>
      <c r="E29" s="75" t="s">
        <v>30</v>
      </c>
      <c r="F29" s="107"/>
      <c r="G29" s="101"/>
      <c r="H29" s="48"/>
      <c r="I29" s="48" t="s">
        <v>30</v>
      </c>
      <c r="J29" s="48">
        <v>94899.87</v>
      </c>
      <c r="K29" s="107"/>
      <c r="L29" s="92" t="s">
        <v>51</v>
      </c>
      <c r="M29" s="48"/>
      <c r="N29" s="48">
        <v>122095.79499999998</v>
      </c>
      <c r="O29" s="48">
        <v>116527.91500000001</v>
      </c>
      <c r="P29" s="107"/>
      <c r="Q29" s="90"/>
      <c r="R29" s="78"/>
      <c r="S29" s="78">
        <v>50022</v>
      </c>
      <c r="T29" s="79" t="s">
        <v>30</v>
      </c>
      <c r="U29" s="107"/>
      <c r="V29" s="37" t="s">
        <v>53</v>
      </c>
      <c r="W29" s="94"/>
      <c r="X29" s="94">
        <v>69036.984500000006</v>
      </c>
      <c r="Y29" s="94">
        <v>83822.165999999997</v>
      </c>
    </row>
    <row r="30" spans="1:25" ht="16" customHeight="1" thickBot="1" x14ac:dyDescent="0.2">
      <c r="A30" s="16" t="s">
        <v>7</v>
      </c>
      <c r="B30" s="90"/>
      <c r="C30" s="75"/>
      <c r="D30" s="75" t="s">
        <v>30</v>
      </c>
      <c r="E30" s="75">
        <v>49379.794999999998</v>
      </c>
      <c r="F30" s="107"/>
      <c r="G30" s="103" t="s">
        <v>51</v>
      </c>
      <c r="H30" s="48"/>
      <c r="I30" s="48">
        <v>87222.42</v>
      </c>
      <c r="J30" s="48">
        <v>83800.47</v>
      </c>
      <c r="K30" s="107"/>
      <c r="L30" s="91" t="s">
        <v>53</v>
      </c>
      <c r="M30" s="48"/>
      <c r="N30" s="48">
        <v>83741.094999999987</v>
      </c>
      <c r="O30" s="48">
        <v>105482.61500000001</v>
      </c>
      <c r="P30" s="107"/>
      <c r="Q30" s="95" t="s">
        <v>52</v>
      </c>
      <c r="R30" s="78"/>
      <c r="S30" s="78">
        <v>151733.4</v>
      </c>
      <c r="T30" s="78">
        <v>154112.33000000002</v>
      </c>
      <c r="U30" s="107"/>
      <c r="V30" s="90"/>
      <c r="W30" s="94"/>
      <c r="X30" s="94" t="s">
        <v>30</v>
      </c>
      <c r="Y30" s="94" t="s">
        <v>30</v>
      </c>
    </row>
    <row r="31" spans="1:25" ht="16" customHeight="1" thickBot="1" x14ac:dyDescent="0.2">
      <c r="A31" s="16" t="s">
        <v>72</v>
      </c>
      <c r="B31" s="92" t="s">
        <v>51</v>
      </c>
      <c r="C31" s="75"/>
      <c r="D31" s="75">
        <v>9.0378359999999986</v>
      </c>
      <c r="E31" s="75">
        <v>7.5388999999999999</v>
      </c>
      <c r="F31" s="107"/>
      <c r="G31" s="102" t="s">
        <v>53</v>
      </c>
      <c r="H31" s="48"/>
      <c r="I31" s="48">
        <v>12.442680000000001</v>
      </c>
      <c r="J31" s="48">
        <v>16.649099999999997</v>
      </c>
      <c r="K31" s="107"/>
      <c r="L31" s="92" t="s">
        <v>51</v>
      </c>
      <c r="M31" s="48"/>
      <c r="N31" s="48">
        <v>15.45285</v>
      </c>
      <c r="O31" s="48">
        <v>13.25436</v>
      </c>
      <c r="P31" s="107"/>
      <c r="Q31" s="95" t="s">
        <v>52</v>
      </c>
      <c r="R31" s="78"/>
      <c r="S31" s="78">
        <v>21.593300000000003</v>
      </c>
      <c r="T31" s="78">
        <v>23.528600000000001</v>
      </c>
      <c r="U31" s="107"/>
      <c r="V31" s="90"/>
      <c r="W31" s="94"/>
      <c r="X31" s="94">
        <v>9.8156850000000002</v>
      </c>
      <c r="Y31" s="94" t="s">
        <v>30</v>
      </c>
    </row>
    <row r="32" spans="1:25" ht="16" customHeight="1" thickBot="1" x14ac:dyDescent="0.2">
      <c r="A32" s="18" t="s">
        <v>8</v>
      </c>
      <c r="B32" s="14"/>
      <c r="C32" s="50"/>
      <c r="D32" s="50"/>
      <c r="E32" s="50"/>
      <c r="F32" s="107"/>
      <c r="G32" s="104"/>
      <c r="H32" s="50"/>
      <c r="I32" s="50"/>
      <c r="J32" s="50"/>
      <c r="K32" s="107"/>
      <c r="L32" s="50"/>
      <c r="M32" s="50"/>
      <c r="N32" s="50"/>
      <c r="O32" s="50"/>
      <c r="P32" s="107"/>
      <c r="Q32" s="50"/>
      <c r="R32" s="50"/>
      <c r="S32" s="50"/>
      <c r="T32" s="50"/>
      <c r="U32" s="107"/>
      <c r="V32" s="50"/>
      <c r="W32" s="50"/>
      <c r="X32" s="50"/>
      <c r="Y32" s="50"/>
    </row>
    <row r="33" spans="1:25" ht="16" customHeight="1" thickBot="1" x14ac:dyDescent="0.2">
      <c r="A33" s="16" t="s">
        <v>73</v>
      </c>
      <c r="B33" s="90"/>
      <c r="C33" s="75"/>
      <c r="D33" s="75" t="s">
        <v>30</v>
      </c>
      <c r="E33" s="75" t="s">
        <v>30</v>
      </c>
      <c r="F33" s="107"/>
      <c r="G33" s="101"/>
      <c r="H33" s="48"/>
      <c r="I33" s="48" t="s">
        <v>30</v>
      </c>
      <c r="J33" s="48">
        <v>153171.72</v>
      </c>
      <c r="K33" s="107"/>
      <c r="L33" s="92" t="s">
        <v>51</v>
      </c>
      <c r="M33" s="48"/>
      <c r="N33" s="48">
        <v>134880.69499999998</v>
      </c>
      <c r="O33" s="48">
        <v>105482.61500000001</v>
      </c>
      <c r="P33" s="107"/>
      <c r="Q33" s="90"/>
      <c r="R33" s="79"/>
      <c r="S33" s="79" t="s">
        <v>30</v>
      </c>
      <c r="T33" s="78">
        <v>248226.73</v>
      </c>
      <c r="U33" s="107"/>
      <c r="V33" s="37" t="s">
        <v>53</v>
      </c>
      <c r="W33" s="94"/>
      <c r="X33" s="94">
        <v>90304.302000000011</v>
      </c>
      <c r="Y33" s="94">
        <v>114192.516</v>
      </c>
    </row>
    <row r="34" spans="1:25" ht="16" customHeight="1" thickBot="1" x14ac:dyDescent="0.2">
      <c r="A34" s="16" t="s">
        <v>74</v>
      </c>
      <c r="B34" s="90"/>
      <c r="C34" s="75"/>
      <c r="D34" s="75" t="s">
        <v>30</v>
      </c>
      <c r="E34" s="75" t="s">
        <v>30</v>
      </c>
      <c r="F34" s="107"/>
      <c r="G34" s="102" t="s">
        <v>53</v>
      </c>
      <c r="H34" s="48"/>
      <c r="I34" s="48">
        <v>100538.81999999999</v>
      </c>
      <c r="J34" s="48">
        <v>153171.72</v>
      </c>
      <c r="K34" s="107"/>
      <c r="L34" s="92" t="s">
        <v>51</v>
      </c>
      <c r="M34" s="48"/>
      <c r="N34" s="48">
        <v>122095.79499999998</v>
      </c>
      <c r="O34" s="48">
        <v>94437.315000000002</v>
      </c>
      <c r="P34" s="107"/>
      <c r="Q34" s="90"/>
      <c r="R34" s="79"/>
      <c r="S34" s="79" t="s">
        <v>30</v>
      </c>
      <c r="T34" s="79" t="s">
        <v>30</v>
      </c>
      <c r="U34" s="107"/>
      <c r="V34" s="95" t="s">
        <v>52</v>
      </c>
      <c r="W34" s="94"/>
      <c r="X34" s="94" t="s">
        <v>30</v>
      </c>
      <c r="Y34" s="94">
        <v>45859.228500000005</v>
      </c>
    </row>
    <row r="35" spans="1:25" ht="16" customHeight="1" thickBot="1" x14ac:dyDescent="0.2">
      <c r="A35" s="16" t="s">
        <v>75</v>
      </c>
      <c r="B35" s="90"/>
      <c r="C35" s="75"/>
      <c r="D35" s="75" t="s">
        <v>30</v>
      </c>
      <c r="E35" s="75">
        <v>41840.894999999997</v>
      </c>
      <c r="F35" s="107"/>
      <c r="G35" s="102" t="s">
        <v>53</v>
      </c>
      <c r="H35" s="48"/>
      <c r="I35" s="48">
        <v>60589.619999999995</v>
      </c>
      <c r="J35" s="48">
        <v>94899.87</v>
      </c>
      <c r="K35" s="107"/>
      <c r="L35" s="90"/>
      <c r="M35" s="48"/>
      <c r="N35" s="48" t="s">
        <v>130</v>
      </c>
      <c r="O35" s="48" t="s">
        <v>30</v>
      </c>
      <c r="P35" s="107"/>
      <c r="Q35" s="92" t="s">
        <v>51</v>
      </c>
      <c r="R35" s="78"/>
      <c r="S35" s="78">
        <v>50022</v>
      </c>
      <c r="T35" s="78">
        <v>35292.9</v>
      </c>
      <c r="U35" s="107"/>
      <c r="V35" s="90"/>
      <c r="W35" s="94"/>
      <c r="X35" s="94">
        <v>42861.824500000002</v>
      </c>
      <c r="Y35" s="94" t="s">
        <v>30</v>
      </c>
    </row>
    <row r="36" spans="1:25" ht="16" customHeight="1" thickBot="1" x14ac:dyDescent="0.2">
      <c r="A36" s="16" t="s">
        <v>76</v>
      </c>
      <c r="B36" s="90"/>
      <c r="C36" s="75"/>
      <c r="D36" s="75">
        <v>59035.870499999997</v>
      </c>
      <c r="E36" s="75" t="s">
        <v>30</v>
      </c>
      <c r="F36" s="107"/>
      <c r="G36" s="101"/>
      <c r="H36" s="48"/>
      <c r="I36" s="48" t="s">
        <v>30</v>
      </c>
      <c r="J36" s="48">
        <v>117098.67</v>
      </c>
      <c r="K36" s="107"/>
      <c r="L36" s="91" t="s">
        <v>53</v>
      </c>
      <c r="M36" s="48"/>
      <c r="N36" s="48">
        <v>83741.094999999987</v>
      </c>
      <c r="O36" s="48">
        <v>105482.61500000001</v>
      </c>
      <c r="P36" s="107"/>
      <c r="Q36" s="92" t="s">
        <v>51</v>
      </c>
      <c r="R36" s="78"/>
      <c r="S36" s="78">
        <v>50022</v>
      </c>
      <c r="T36" s="78">
        <v>35292.9</v>
      </c>
      <c r="U36" s="107"/>
      <c r="V36" s="90"/>
      <c r="W36" s="94"/>
      <c r="X36" s="94">
        <v>29774.244500000001</v>
      </c>
      <c r="Y36" s="94" t="s">
        <v>30</v>
      </c>
    </row>
    <row r="37" spans="1:25" ht="16" customHeight="1" thickBot="1" x14ac:dyDescent="0.2">
      <c r="A37" s="16" t="s">
        <v>77</v>
      </c>
      <c r="B37" s="90"/>
      <c r="C37" s="75"/>
      <c r="D37" s="75" t="s">
        <v>30</v>
      </c>
      <c r="E37" s="75">
        <v>26763.094999999998</v>
      </c>
      <c r="F37" s="107"/>
      <c r="G37" s="101"/>
      <c r="H37" s="48"/>
      <c r="I37" s="48" t="s">
        <v>30</v>
      </c>
      <c r="J37" s="48">
        <v>50502.27</v>
      </c>
      <c r="K37" s="107"/>
      <c r="L37" s="90"/>
      <c r="M37" s="48"/>
      <c r="N37" s="48" t="s">
        <v>130</v>
      </c>
      <c r="O37" s="48" t="s">
        <v>30</v>
      </c>
      <c r="P37" s="107"/>
      <c r="Q37" s="92" t="s">
        <v>51</v>
      </c>
      <c r="R37" s="78"/>
      <c r="S37" s="78">
        <v>50022</v>
      </c>
      <c r="T37" s="78">
        <v>35292.9</v>
      </c>
      <c r="U37" s="107"/>
      <c r="V37" s="90"/>
      <c r="W37" s="94"/>
      <c r="X37" s="94" t="s">
        <v>30</v>
      </c>
      <c r="Y37" s="94" t="s">
        <v>30</v>
      </c>
    </row>
    <row r="38" spans="1:25" ht="16" customHeight="1" thickBot="1" x14ac:dyDescent="0.2">
      <c r="A38" s="18" t="s">
        <v>104</v>
      </c>
      <c r="B38" s="14"/>
      <c r="C38" s="50"/>
      <c r="D38" s="50"/>
      <c r="E38" s="50"/>
      <c r="F38" s="107"/>
      <c r="G38" s="104"/>
      <c r="H38" s="50"/>
      <c r="I38" s="50"/>
      <c r="J38" s="50"/>
      <c r="K38" s="107"/>
      <c r="L38" s="50"/>
      <c r="M38" s="50"/>
      <c r="N38" s="50"/>
      <c r="O38" s="50"/>
      <c r="P38" s="107"/>
      <c r="Q38" s="50"/>
      <c r="R38" s="50"/>
      <c r="S38" s="50"/>
      <c r="T38" s="50"/>
      <c r="U38" s="107"/>
      <c r="V38" s="50"/>
      <c r="W38" s="50"/>
      <c r="X38" s="50"/>
      <c r="Y38" s="50"/>
    </row>
    <row r="39" spans="1:25" ht="16" customHeight="1" thickBot="1" x14ac:dyDescent="0.2">
      <c r="A39" s="16" t="s">
        <v>101</v>
      </c>
      <c r="B39" s="90"/>
      <c r="C39" s="75"/>
      <c r="D39" s="75" t="s">
        <v>30</v>
      </c>
      <c r="E39" s="75">
        <v>88959.01999999999</v>
      </c>
      <c r="F39" s="107"/>
      <c r="G39" s="101"/>
      <c r="H39" s="48"/>
      <c r="I39" s="48" t="s">
        <v>30</v>
      </c>
      <c r="J39" s="48">
        <v>153171.72</v>
      </c>
      <c r="K39" s="107"/>
      <c r="L39" s="90"/>
      <c r="M39" s="48"/>
      <c r="N39" s="48" t="s">
        <v>30</v>
      </c>
      <c r="O39" s="48">
        <v>180038.39</v>
      </c>
      <c r="P39" s="107"/>
      <c r="Q39" s="92" t="s">
        <v>51</v>
      </c>
      <c r="R39" s="78"/>
      <c r="S39" s="78">
        <v>351821.4</v>
      </c>
      <c r="T39" s="78">
        <v>324694.68000000005</v>
      </c>
      <c r="U39" s="107"/>
      <c r="V39" s="34" t="s">
        <v>51</v>
      </c>
      <c r="W39" s="94"/>
      <c r="X39" s="94">
        <v>106663.777</v>
      </c>
      <c r="Y39" s="94">
        <v>99007.341</v>
      </c>
    </row>
    <row r="40" spans="1:25" ht="16" customHeight="1" thickBot="1" x14ac:dyDescent="0.2">
      <c r="A40" s="16" t="s">
        <v>78</v>
      </c>
      <c r="B40" s="90"/>
      <c r="C40" s="75"/>
      <c r="D40" s="75" t="s">
        <v>30</v>
      </c>
      <c r="E40" s="75" t="s">
        <v>30</v>
      </c>
      <c r="F40" s="107"/>
      <c r="G40" s="103" t="s">
        <v>51</v>
      </c>
      <c r="H40" s="48"/>
      <c r="I40" s="48">
        <v>127171.62</v>
      </c>
      <c r="J40" s="48" t="s">
        <v>30</v>
      </c>
      <c r="K40" s="107"/>
      <c r="L40" s="92" t="s">
        <v>51</v>
      </c>
      <c r="M40" s="48"/>
      <c r="N40" s="48">
        <v>122095.79499999998</v>
      </c>
      <c r="O40" s="48">
        <v>116527.91500000001</v>
      </c>
      <c r="P40" s="107"/>
      <c r="Q40" s="90"/>
      <c r="R40" s="79"/>
      <c r="S40" s="79" t="s">
        <v>30</v>
      </c>
      <c r="T40" s="78">
        <v>224698.13</v>
      </c>
      <c r="U40" s="107"/>
      <c r="V40" s="90"/>
      <c r="W40" s="94"/>
      <c r="X40" s="94">
        <v>69036.984500000006</v>
      </c>
      <c r="Y40" s="94" t="s">
        <v>30</v>
      </c>
    </row>
    <row r="41" spans="1:25" ht="16" customHeight="1" thickBot="1" x14ac:dyDescent="0.2">
      <c r="A41" s="16" t="s">
        <v>79</v>
      </c>
      <c r="B41" s="92" t="s">
        <v>51</v>
      </c>
      <c r="C41" s="75"/>
      <c r="D41" s="75">
        <v>68048.980500000005</v>
      </c>
      <c r="E41" s="75">
        <v>64457.594999999994</v>
      </c>
      <c r="F41" s="107"/>
      <c r="G41" s="93" t="s">
        <v>52</v>
      </c>
      <c r="H41" s="48"/>
      <c r="I41" s="48">
        <v>127171.62</v>
      </c>
      <c r="J41" s="48">
        <v>130972.92</v>
      </c>
      <c r="K41" s="107"/>
      <c r="L41" s="91" t="s">
        <v>53</v>
      </c>
      <c r="M41" s="48"/>
      <c r="N41" s="48">
        <v>83741.094999999987</v>
      </c>
      <c r="O41" s="48">
        <v>130334.54000000001</v>
      </c>
      <c r="P41" s="107"/>
      <c r="Q41" s="91" t="s">
        <v>53</v>
      </c>
      <c r="R41" s="78"/>
      <c r="S41" s="78">
        <v>185081.4</v>
      </c>
      <c r="T41" s="78">
        <v>201169.53000000003</v>
      </c>
      <c r="U41" s="107"/>
      <c r="V41" s="37" t="s">
        <v>53</v>
      </c>
      <c r="W41" s="94"/>
      <c r="X41" s="94">
        <v>69036.984500000006</v>
      </c>
      <c r="Y41" s="94">
        <v>83822.165999999997</v>
      </c>
    </row>
    <row r="42" spans="1:25" ht="16" customHeight="1" thickBot="1" x14ac:dyDescent="0.2">
      <c r="A42" s="16" t="s">
        <v>80</v>
      </c>
      <c r="B42" s="90"/>
      <c r="C42" s="75"/>
      <c r="D42" s="75" t="s">
        <v>30</v>
      </c>
      <c r="E42" s="75" t="s">
        <v>30</v>
      </c>
      <c r="F42" s="107"/>
      <c r="G42" s="101"/>
      <c r="H42" s="48"/>
      <c r="I42" s="48" t="s">
        <v>30</v>
      </c>
      <c r="J42" s="48">
        <v>105999.26999999999</v>
      </c>
      <c r="K42" s="107"/>
      <c r="L42" s="91" t="s">
        <v>53</v>
      </c>
      <c r="M42" s="48"/>
      <c r="N42" s="48">
        <v>70956.194999999992</v>
      </c>
      <c r="O42" s="48">
        <v>105482.61500000001</v>
      </c>
      <c r="P42" s="107"/>
      <c r="Q42" s="90"/>
      <c r="R42" s="78"/>
      <c r="S42" s="78">
        <v>151733.4</v>
      </c>
      <c r="T42" s="79" t="s">
        <v>30</v>
      </c>
      <c r="U42" s="107"/>
      <c r="V42" s="34" t="s">
        <v>51</v>
      </c>
      <c r="W42" s="94"/>
      <c r="X42" s="94">
        <v>55949.404500000004</v>
      </c>
      <c r="Y42" s="94">
        <v>51933.298500000004</v>
      </c>
    </row>
    <row r="43" spans="1:25" ht="15" thickBot="1" x14ac:dyDescent="0.2">
      <c r="A43" s="16" t="s">
        <v>81</v>
      </c>
      <c r="B43" s="92" t="s">
        <v>51</v>
      </c>
      <c r="C43" s="75"/>
      <c r="D43" s="75">
        <v>59035.870499999997</v>
      </c>
      <c r="E43" s="75">
        <v>49379.794999999998</v>
      </c>
      <c r="F43" s="107"/>
      <c r="G43" s="103" t="s">
        <v>51</v>
      </c>
      <c r="H43" s="48"/>
      <c r="I43" s="48">
        <v>100538.81999999999</v>
      </c>
      <c r="J43" s="48">
        <v>94899.87</v>
      </c>
      <c r="K43" s="107"/>
      <c r="L43" s="92" t="s">
        <v>51</v>
      </c>
      <c r="M43" s="48"/>
      <c r="N43" s="48">
        <v>96525.994999999995</v>
      </c>
      <c r="O43" s="48">
        <v>94437.315000000002</v>
      </c>
      <c r="P43" s="107"/>
      <c r="Q43" s="92" t="s">
        <v>51</v>
      </c>
      <c r="R43" s="78"/>
      <c r="S43" s="78">
        <v>118385.4</v>
      </c>
      <c r="T43" s="78">
        <v>107055.13</v>
      </c>
      <c r="U43" s="107"/>
      <c r="V43" s="34" t="s">
        <v>51</v>
      </c>
      <c r="W43" s="94"/>
      <c r="X43" s="94">
        <v>55949.404500000004</v>
      </c>
      <c r="Y43" s="94">
        <v>51933.298500000004</v>
      </c>
    </row>
    <row r="44" spans="1:25" ht="15" thickBot="1" x14ac:dyDescent="0.2">
      <c r="A44" s="16" t="s">
        <v>82</v>
      </c>
      <c r="B44" s="92" t="s">
        <v>51</v>
      </c>
      <c r="C44" s="75"/>
      <c r="D44" s="75">
        <v>50022.760499999997</v>
      </c>
      <c r="E44" s="75">
        <v>41840.894999999997</v>
      </c>
      <c r="F44" s="107"/>
      <c r="G44" s="102" t="s">
        <v>53</v>
      </c>
      <c r="H44" s="48"/>
      <c r="I44" s="48">
        <v>87222.42</v>
      </c>
      <c r="J44" s="48">
        <v>117098.67</v>
      </c>
      <c r="K44" s="107"/>
      <c r="L44" s="91" t="s">
        <v>53</v>
      </c>
      <c r="M44" s="48"/>
      <c r="N44" s="48">
        <v>70956.194999999992</v>
      </c>
      <c r="O44" s="48">
        <v>83392.014999999999</v>
      </c>
      <c r="P44" s="107"/>
      <c r="Q44" s="90"/>
      <c r="R44" s="79"/>
      <c r="S44" s="79" t="s">
        <v>30</v>
      </c>
      <c r="T44" s="79" t="s">
        <v>30</v>
      </c>
      <c r="U44" s="107"/>
      <c r="V44" s="37" t="s">
        <v>53</v>
      </c>
      <c r="W44" s="94"/>
      <c r="X44" s="94">
        <v>55949.404500000004</v>
      </c>
      <c r="Y44" s="94">
        <v>64081.438500000004</v>
      </c>
    </row>
    <row r="45" spans="1:25" ht="15" thickBot="1" x14ac:dyDescent="0.2">
      <c r="A45" s="16" t="s">
        <v>83</v>
      </c>
      <c r="B45" s="92" t="s">
        <v>51</v>
      </c>
      <c r="C45" s="75"/>
      <c r="D45" s="75">
        <v>41009.650499999996</v>
      </c>
      <c r="E45" s="75">
        <v>34301.994999999995</v>
      </c>
      <c r="F45" s="107"/>
      <c r="G45" s="102" t="s">
        <v>53</v>
      </c>
      <c r="H45" s="48"/>
      <c r="I45" s="48">
        <v>73906.01999999999</v>
      </c>
      <c r="J45" s="48">
        <v>94899.87</v>
      </c>
      <c r="K45" s="107"/>
      <c r="L45" s="93" t="s">
        <v>52</v>
      </c>
      <c r="M45" s="48"/>
      <c r="N45" s="48">
        <v>70956.194999999992</v>
      </c>
      <c r="O45" s="48">
        <v>72346.714999999997</v>
      </c>
      <c r="P45" s="107"/>
      <c r="Q45" s="91" t="s">
        <v>53</v>
      </c>
      <c r="R45" s="78"/>
      <c r="S45" s="78">
        <v>50022</v>
      </c>
      <c r="T45" s="78">
        <v>83526.530000000013</v>
      </c>
      <c r="U45" s="107"/>
      <c r="V45" s="34" t="s">
        <v>51</v>
      </c>
      <c r="W45" s="94"/>
      <c r="X45" s="94">
        <v>42861.824500000002</v>
      </c>
      <c r="Y45" s="94">
        <v>39785.158500000005</v>
      </c>
    </row>
    <row r="46" spans="1:25" ht="15" thickBot="1" x14ac:dyDescent="0.2">
      <c r="A46" s="16" t="s">
        <v>84</v>
      </c>
      <c r="B46" s="92" t="s">
        <v>51</v>
      </c>
      <c r="C46" s="75"/>
      <c r="D46" s="75">
        <v>50022.760499999997</v>
      </c>
      <c r="E46" s="75">
        <v>41840.894999999997</v>
      </c>
      <c r="F46" s="107"/>
      <c r="G46" s="102" t="s">
        <v>53</v>
      </c>
      <c r="H46" s="48"/>
      <c r="I46" s="48">
        <v>73906.01999999999</v>
      </c>
      <c r="J46" s="48">
        <v>94899.87</v>
      </c>
      <c r="K46" s="107"/>
      <c r="L46" s="93" t="s">
        <v>52</v>
      </c>
      <c r="M46" s="48"/>
      <c r="N46" s="48">
        <v>70956.194999999992</v>
      </c>
      <c r="O46" s="48">
        <v>72346.714999999997</v>
      </c>
      <c r="P46" s="107"/>
      <c r="Q46" s="90"/>
      <c r="R46" s="78"/>
      <c r="S46" s="78">
        <v>50022</v>
      </c>
      <c r="T46" s="79" t="s">
        <v>30</v>
      </c>
      <c r="U46" s="107"/>
      <c r="V46" s="90"/>
      <c r="W46" s="94"/>
      <c r="X46" s="94">
        <v>42861.824500000002</v>
      </c>
      <c r="Y46" s="94" t="s">
        <v>30</v>
      </c>
    </row>
    <row r="47" spans="1:25" ht="15" thickBot="1" x14ac:dyDescent="0.2">
      <c r="A47" s="16" t="s">
        <v>85</v>
      </c>
      <c r="B47" s="92" t="s">
        <v>51</v>
      </c>
      <c r="C47" s="75"/>
      <c r="D47" s="75">
        <v>41009.650499999996</v>
      </c>
      <c r="E47" s="75">
        <v>34301.994999999995</v>
      </c>
      <c r="F47" s="107"/>
      <c r="G47" s="103" t="s">
        <v>51</v>
      </c>
      <c r="H47" s="48"/>
      <c r="I47" s="48">
        <v>73906.01999999999</v>
      </c>
      <c r="J47" s="48">
        <v>61601.67</v>
      </c>
      <c r="K47" s="107"/>
      <c r="L47" s="91" t="s">
        <v>53</v>
      </c>
      <c r="M47" s="48"/>
      <c r="N47" s="48">
        <v>45386.394999999997</v>
      </c>
      <c r="O47" s="48">
        <v>61301.415000000001</v>
      </c>
      <c r="P47" s="107"/>
      <c r="Q47" s="92" t="s">
        <v>51</v>
      </c>
      <c r="R47" s="78"/>
      <c r="S47" s="78">
        <v>50022</v>
      </c>
      <c r="T47" s="78">
        <v>35292.9</v>
      </c>
      <c r="U47" s="107"/>
      <c r="V47" s="37" t="s">
        <v>53</v>
      </c>
      <c r="W47" s="94"/>
      <c r="X47" s="94">
        <v>29774.244500000001</v>
      </c>
      <c r="Y47" s="94">
        <v>39785.158500000005</v>
      </c>
    </row>
    <row r="48" spans="1:25" ht="15" thickBot="1" x14ac:dyDescent="0.2">
      <c r="A48" s="16" t="s">
        <v>86</v>
      </c>
      <c r="B48" s="92" t="s">
        <v>51</v>
      </c>
      <c r="C48" s="75"/>
      <c r="D48" s="75">
        <v>50022.760499999997</v>
      </c>
      <c r="E48" s="75">
        <v>41840.894999999997</v>
      </c>
      <c r="F48" s="107"/>
      <c r="G48" s="102" t="s">
        <v>53</v>
      </c>
      <c r="H48" s="48"/>
      <c r="I48" s="48">
        <v>73906.01999999999</v>
      </c>
      <c r="J48" s="48">
        <v>83800.47</v>
      </c>
      <c r="K48" s="107"/>
      <c r="L48" s="92" t="s">
        <v>51</v>
      </c>
      <c r="M48" s="48"/>
      <c r="N48" s="48">
        <v>83741.094999999987</v>
      </c>
      <c r="O48" s="48">
        <v>72346.714999999997</v>
      </c>
      <c r="P48" s="107"/>
      <c r="Q48" s="90"/>
      <c r="R48" s="78"/>
      <c r="S48" s="78">
        <v>151733.4</v>
      </c>
      <c r="T48" s="79" t="s">
        <v>30</v>
      </c>
      <c r="U48" s="107"/>
      <c r="V48" s="90"/>
      <c r="W48" s="94"/>
      <c r="X48" s="94">
        <v>29774.244500000001</v>
      </c>
      <c r="Y48" s="94" t="s">
        <v>30</v>
      </c>
    </row>
    <row r="49" spans="1:25" ht="15" thickBot="1" x14ac:dyDescent="0.2">
      <c r="A49" s="16" t="s">
        <v>87</v>
      </c>
      <c r="B49" s="93" t="s">
        <v>52</v>
      </c>
      <c r="C49" s="75"/>
      <c r="D49" s="75">
        <v>41009.650499999996</v>
      </c>
      <c r="E49" s="75">
        <v>41840.894999999997</v>
      </c>
      <c r="F49" s="107"/>
      <c r="G49" s="102" t="s">
        <v>53</v>
      </c>
      <c r="H49" s="48"/>
      <c r="I49" s="48">
        <v>47273.22</v>
      </c>
      <c r="J49" s="48">
        <v>72701.069999999992</v>
      </c>
      <c r="K49" s="107"/>
      <c r="L49" s="91" t="s">
        <v>53</v>
      </c>
      <c r="M49" s="48"/>
      <c r="N49" s="48">
        <v>45386.394999999997</v>
      </c>
      <c r="O49" s="48">
        <v>61301.415000000001</v>
      </c>
      <c r="P49" s="107"/>
      <c r="Q49" s="91" t="s">
        <v>53</v>
      </c>
      <c r="R49" s="78"/>
      <c r="S49" s="78">
        <v>50022</v>
      </c>
      <c r="T49" s="78">
        <v>83526.530000000013</v>
      </c>
      <c r="U49" s="107"/>
      <c r="V49" s="90"/>
      <c r="W49" s="94"/>
      <c r="X49" s="94" t="s">
        <v>30</v>
      </c>
      <c r="Y49" s="94">
        <v>45859.228500000005</v>
      </c>
    </row>
    <row r="50" spans="1:25" ht="15" thickBot="1" x14ac:dyDescent="0.2">
      <c r="A50" s="16" t="s">
        <v>88</v>
      </c>
      <c r="B50" s="92" t="s">
        <v>51</v>
      </c>
      <c r="C50" s="75"/>
      <c r="D50" s="75">
        <v>41009.650499999996</v>
      </c>
      <c r="E50" s="75">
        <v>34301.994999999995</v>
      </c>
      <c r="F50" s="107"/>
      <c r="G50" s="101"/>
      <c r="H50" s="48"/>
      <c r="I50" s="48">
        <v>60589.619999999995</v>
      </c>
      <c r="J50" s="48" t="s">
        <v>30</v>
      </c>
      <c r="K50" s="107"/>
      <c r="L50" s="91" t="s">
        <v>53</v>
      </c>
      <c r="M50" s="48"/>
      <c r="N50" s="48">
        <v>58171.294999999998</v>
      </c>
      <c r="O50" s="48">
        <v>72346.714999999997</v>
      </c>
      <c r="P50" s="107"/>
      <c r="Q50" s="90"/>
      <c r="R50" s="79"/>
      <c r="S50" s="79" t="s">
        <v>30</v>
      </c>
      <c r="T50" s="78">
        <v>107055.13</v>
      </c>
      <c r="U50" s="107"/>
      <c r="V50" s="90"/>
      <c r="W50" s="94"/>
      <c r="X50" s="94" t="s">
        <v>30</v>
      </c>
      <c r="Y50" s="94" t="s">
        <v>30</v>
      </c>
    </row>
    <row r="51" spans="1:25" ht="15" thickBot="1" x14ac:dyDescent="0.2">
      <c r="A51" s="18" t="s">
        <v>105</v>
      </c>
      <c r="B51" s="50"/>
      <c r="C51" s="50"/>
      <c r="D51" s="50"/>
      <c r="E51" s="50"/>
      <c r="F51" s="107"/>
      <c r="G51" s="104"/>
      <c r="H51" s="50"/>
      <c r="I51" s="50"/>
      <c r="J51" s="50"/>
      <c r="K51" s="107"/>
      <c r="L51" s="50"/>
      <c r="M51" s="50"/>
      <c r="N51" s="50"/>
      <c r="O51" s="50"/>
      <c r="P51" s="107"/>
      <c r="Q51" s="50"/>
      <c r="R51" s="50"/>
      <c r="S51" s="50"/>
      <c r="T51" s="50"/>
      <c r="U51" s="107"/>
      <c r="V51" s="50"/>
      <c r="W51" s="50"/>
      <c r="X51" s="50"/>
      <c r="Y51" s="50"/>
    </row>
    <row r="52" spans="1:25" ht="15" thickBot="1" x14ac:dyDescent="0.2">
      <c r="A52" s="16" t="s">
        <v>102</v>
      </c>
      <c r="B52" s="90"/>
      <c r="C52" s="75"/>
      <c r="D52" s="75" t="s">
        <v>30</v>
      </c>
      <c r="E52" s="75">
        <v>56918.695</v>
      </c>
      <c r="F52" s="107"/>
      <c r="G52" s="103" t="s">
        <v>51</v>
      </c>
      <c r="H52" s="48"/>
      <c r="I52" s="48">
        <v>127171.62</v>
      </c>
      <c r="J52" s="48">
        <v>105999.26999999999</v>
      </c>
      <c r="K52" s="107"/>
      <c r="L52" s="90"/>
      <c r="M52" s="48"/>
      <c r="N52" s="48" t="s">
        <v>130</v>
      </c>
      <c r="O52" s="48">
        <v>94437.315000000002</v>
      </c>
      <c r="P52" s="107"/>
      <c r="Q52" s="92" t="s">
        <v>51</v>
      </c>
      <c r="R52" s="78"/>
      <c r="S52" s="78">
        <v>185081.4</v>
      </c>
      <c r="T52" s="78">
        <v>154112.33000000002</v>
      </c>
      <c r="U52" s="107"/>
      <c r="V52" s="90"/>
      <c r="W52" s="94"/>
      <c r="X52" s="94">
        <v>77216.722000000009</v>
      </c>
      <c r="Y52" s="94" t="s">
        <v>30</v>
      </c>
    </row>
    <row r="53" spans="1:25" ht="15" thickBot="1" x14ac:dyDescent="0.2">
      <c r="A53" s="16" t="s">
        <v>13</v>
      </c>
      <c r="B53" s="91" t="s">
        <v>53</v>
      </c>
      <c r="C53" s="75"/>
      <c r="D53" s="75">
        <v>31996.540499999999</v>
      </c>
      <c r="E53" s="75">
        <v>49379.794999999998</v>
      </c>
      <c r="F53" s="107"/>
      <c r="G53" s="103" t="s">
        <v>51</v>
      </c>
      <c r="H53" s="48"/>
      <c r="I53" s="48">
        <v>87222.42</v>
      </c>
      <c r="J53" s="48">
        <v>83800.47</v>
      </c>
      <c r="K53" s="107"/>
      <c r="L53" s="91" t="s">
        <v>53</v>
      </c>
      <c r="M53" s="48"/>
      <c r="N53" s="48">
        <v>58171.294999999998</v>
      </c>
      <c r="O53" s="48">
        <v>72346.714999999997</v>
      </c>
      <c r="P53" s="107"/>
      <c r="Q53" s="92" t="s">
        <v>51</v>
      </c>
      <c r="R53" s="78"/>
      <c r="S53" s="78">
        <v>50022</v>
      </c>
      <c r="T53" s="78">
        <v>35292.9</v>
      </c>
      <c r="U53" s="107"/>
      <c r="V53" s="34" t="s">
        <v>51</v>
      </c>
      <c r="W53" s="94"/>
      <c r="X53" s="94">
        <v>42861.824500000002</v>
      </c>
      <c r="Y53" s="94">
        <v>39785.158500000005</v>
      </c>
    </row>
    <row r="54" spans="1:25" ht="15" thickBot="1" x14ac:dyDescent="0.2">
      <c r="A54" s="18" t="s">
        <v>16</v>
      </c>
      <c r="B54" s="14"/>
      <c r="C54" s="50"/>
      <c r="D54" s="50"/>
      <c r="E54" s="50"/>
      <c r="F54" s="107"/>
      <c r="G54" s="104"/>
      <c r="H54" s="50"/>
      <c r="I54" s="50"/>
      <c r="J54" s="50"/>
      <c r="K54" s="107"/>
      <c r="L54" s="50"/>
      <c r="M54" s="50"/>
      <c r="N54" s="50"/>
      <c r="O54" s="50"/>
      <c r="P54" s="107"/>
      <c r="Q54" s="50"/>
      <c r="R54" s="50"/>
      <c r="S54" s="50"/>
      <c r="T54" s="50"/>
      <c r="U54" s="107"/>
      <c r="V54" s="50"/>
      <c r="W54" s="50"/>
      <c r="X54" s="50"/>
      <c r="Y54" s="50"/>
    </row>
    <row r="55" spans="1:25" ht="15" thickBot="1" x14ac:dyDescent="0.2">
      <c r="A55" s="16" t="s">
        <v>18</v>
      </c>
      <c r="B55" s="90"/>
      <c r="C55" s="75"/>
      <c r="D55" s="75" t="s">
        <v>30</v>
      </c>
      <c r="E55" s="75" t="s">
        <v>30</v>
      </c>
      <c r="F55" s="107"/>
      <c r="G55" s="103" t="s">
        <v>51</v>
      </c>
      <c r="H55" s="48"/>
      <c r="I55" s="48">
        <v>157133.51999999999</v>
      </c>
      <c r="J55" s="48">
        <v>117098.67</v>
      </c>
      <c r="K55" s="107"/>
      <c r="L55" s="90"/>
      <c r="M55" s="48"/>
      <c r="N55" s="48" t="s">
        <v>130</v>
      </c>
      <c r="O55" s="48" t="s">
        <v>30</v>
      </c>
      <c r="P55" s="107"/>
      <c r="Q55" s="90"/>
      <c r="R55" s="79"/>
      <c r="S55" s="79" t="s">
        <v>30</v>
      </c>
      <c r="T55" s="78">
        <v>154112.33000000002</v>
      </c>
      <c r="U55" s="107"/>
      <c r="V55" s="90"/>
      <c r="W55" s="94"/>
      <c r="X55" s="94" t="s">
        <v>30</v>
      </c>
      <c r="Y55" s="94" t="s">
        <v>30</v>
      </c>
    </row>
    <row r="56" spans="1:25" ht="15" thickBot="1" x14ac:dyDescent="0.2">
      <c r="A56" s="16" t="s">
        <v>97</v>
      </c>
      <c r="B56" s="90"/>
      <c r="C56" s="75"/>
      <c r="D56" s="75" t="s">
        <v>30</v>
      </c>
      <c r="E56" s="75" t="s">
        <v>30</v>
      </c>
      <c r="F56" s="107"/>
      <c r="G56" s="103" t="s">
        <v>51</v>
      </c>
      <c r="H56" s="48"/>
      <c r="I56" s="48">
        <v>87222.42</v>
      </c>
      <c r="J56" s="48">
        <v>83800.47</v>
      </c>
      <c r="K56" s="107"/>
      <c r="L56" s="90"/>
      <c r="M56" s="48"/>
      <c r="N56" s="48" t="s">
        <v>130</v>
      </c>
      <c r="O56" s="48">
        <v>50256.114999999998</v>
      </c>
      <c r="P56" s="107"/>
      <c r="Q56" s="91" t="s">
        <v>53</v>
      </c>
      <c r="R56" s="78"/>
      <c r="S56" s="78">
        <v>50022</v>
      </c>
      <c r="T56" s="78">
        <v>83526.530000000013</v>
      </c>
      <c r="U56" s="107"/>
      <c r="V56" s="90"/>
      <c r="W56" s="94"/>
      <c r="X56" s="94" t="s">
        <v>30</v>
      </c>
      <c r="Y56" s="94" t="s">
        <v>30</v>
      </c>
    </row>
    <row r="57" spans="1:25" ht="15" thickBot="1" x14ac:dyDescent="0.2">
      <c r="A57" s="16" t="s">
        <v>17</v>
      </c>
      <c r="B57" s="90"/>
      <c r="C57" s="75"/>
      <c r="D57" s="75" t="s">
        <v>30</v>
      </c>
      <c r="E57" s="75" t="s">
        <v>30</v>
      </c>
      <c r="F57" s="107"/>
      <c r="G57" s="93" t="s">
        <v>52</v>
      </c>
      <c r="H57" s="48"/>
      <c r="I57" s="48">
        <v>60589.619999999995</v>
      </c>
      <c r="J57" s="48">
        <v>61601.67</v>
      </c>
      <c r="K57" s="107"/>
      <c r="L57" s="92" t="s">
        <v>51</v>
      </c>
      <c r="M57" s="48"/>
      <c r="N57" s="48">
        <v>45386.394999999997</v>
      </c>
      <c r="O57" s="48">
        <v>39210.815000000002</v>
      </c>
      <c r="P57" s="107"/>
      <c r="Q57" s="91" t="s">
        <v>53</v>
      </c>
      <c r="R57" s="78"/>
      <c r="S57" s="78">
        <v>50022</v>
      </c>
      <c r="T57" s="78">
        <v>35292.9</v>
      </c>
      <c r="U57" s="107"/>
      <c r="V57" s="95" t="s">
        <v>52</v>
      </c>
      <c r="W57" s="94"/>
      <c r="X57" s="94" t="s">
        <v>30</v>
      </c>
      <c r="Y57" s="94">
        <v>21562.948500000002</v>
      </c>
    </row>
    <row r="58" spans="1:25" ht="15" thickBot="1" x14ac:dyDescent="0.2">
      <c r="A58" s="18" t="s">
        <v>19</v>
      </c>
      <c r="B58" s="14"/>
      <c r="C58" s="50"/>
      <c r="D58" s="50"/>
      <c r="E58" s="50"/>
      <c r="F58" s="107"/>
      <c r="G58" s="104"/>
      <c r="H58" s="50"/>
      <c r="I58" s="50"/>
      <c r="J58" s="50"/>
      <c r="K58" s="107"/>
      <c r="L58" s="50"/>
      <c r="M58" s="50"/>
      <c r="N58" s="50"/>
      <c r="O58" s="50"/>
      <c r="P58" s="107"/>
      <c r="Q58" s="50"/>
      <c r="R58" s="50"/>
      <c r="S58" s="50"/>
      <c r="T58" s="50"/>
      <c r="U58" s="107"/>
      <c r="V58" s="50"/>
      <c r="W58" s="50"/>
      <c r="X58" s="50"/>
      <c r="Y58" s="50"/>
    </row>
    <row r="59" spans="1:25" ht="15" thickBot="1" x14ac:dyDescent="0.2">
      <c r="A59" s="16" t="s">
        <v>108</v>
      </c>
      <c r="B59" s="90"/>
      <c r="C59" s="75"/>
      <c r="D59" s="75">
        <v>106354.698</v>
      </c>
      <c r="E59" s="75" t="s">
        <v>30</v>
      </c>
      <c r="F59" s="107"/>
      <c r="G59" s="102" t="s">
        <v>53</v>
      </c>
      <c r="H59" s="48"/>
      <c r="I59" s="48">
        <v>113855.22</v>
      </c>
      <c r="J59" s="48">
        <v>153171.72</v>
      </c>
      <c r="K59" s="107"/>
      <c r="L59" s="91" t="s">
        <v>53</v>
      </c>
      <c r="M59" s="48"/>
      <c r="N59" s="48">
        <v>96525.994999999995</v>
      </c>
      <c r="O59" s="48">
        <v>116527.91500000001</v>
      </c>
      <c r="P59" s="107"/>
      <c r="Q59" s="90"/>
      <c r="R59" s="78"/>
      <c r="S59" s="78">
        <v>318473.40000000002</v>
      </c>
      <c r="T59" s="79" t="s">
        <v>30</v>
      </c>
      <c r="U59" s="107"/>
      <c r="V59" s="34" t="s">
        <v>51</v>
      </c>
      <c r="W59" s="94"/>
      <c r="X59" s="94">
        <v>106663.777</v>
      </c>
      <c r="Y59" s="94">
        <v>83822.165999999997</v>
      </c>
    </row>
    <row r="60" spans="1:25" ht="15" thickBot="1" x14ac:dyDescent="0.2">
      <c r="A60" s="16" t="s">
        <v>20</v>
      </c>
      <c r="B60" s="91" t="s">
        <v>53</v>
      </c>
      <c r="C60" s="75"/>
      <c r="D60" s="75">
        <v>50022.760499999997</v>
      </c>
      <c r="E60" s="75">
        <v>64457.594999999994</v>
      </c>
      <c r="F60" s="107"/>
      <c r="G60" s="103" t="s">
        <v>51</v>
      </c>
      <c r="H60" s="48"/>
      <c r="I60" s="48">
        <v>127171.62</v>
      </c>
      <c r="J60" s="48">
        <v>117098.67</v>
      </c>
      <c r="K60" s="107"/>
      <c r="L60" s="92" t="s">
        <v>51</v>
      </c>
      <c r="M60" s="48"/>
      <c r="N60" s="48">
        <v>96525.994999999995</v>
      </c>
      <c r="O60" s="48">
        <v>83392.014999999999</v>
      </c>
      <c r="P60" s="107"/>
      <c r="Q60" s="91" t="s">
        <v>53</v>
      </c>
      <c r="R60" s="78"/>
      <c r="S60" s="78">
        <v>185081.4</v>
      </c>
      <c r="T60" s="78">
        <v>201169.53000000003</v>
      </c>
      <c r="U60" s="107"/>
      <c r="V60" s="90"/>
      <c r="W60" s="94"/>
      <c r="X60" s="94" t="s">
        <v>30</v>
      </c>
      <c r="Y60" s="94">
        <v>71674.025999999998</v>
      </c>
    </row>
    <row r="61" spans="1:25" ht="15" thickBot="1" x14ac:dyDescent="0.2">
      <c r="A61" s="16" t="s">
        <v>21</v>
      </c>
      <c r="B61" s="93" t="s">
        <v>52</v>
      </c>
      <c r="C61" s="75"/>
      <c r="D61" s="75">
        <v>41009.650499999996</v>
      </c>
      <c r="E61" s="75">
        <v>41840.894999999997</v>
      </c>
      <c r="F61" s="107"/>
      <c r="G61" s="102" t="s">
        <v>53</v>
      </c>
      <c r="H61" s="48"/>
      <c r="I61" s="48">
        <v>73906.01999999999</v>
      </c>
      <c r="J61" s="48">
        <v>83800.47</v>
      </c>
      <c r="K61" s="107"/>
      <c r="L61" s="91" t="s">
        <v>53</v>
      </c>
      <c r="M61" s="48"/>
      <c r="N61" s="48">
        <v>58171.294999999998</v>
      </c>
      <c r="O61" s="48">
        <v>72346.714999999997</v>
      </c>
      <c r="P61" s="107"/>
      <c r="Q61" s="91" t="s">
        <v>53</v>
      </c>
      <c r="R61" s="78"/>
      <c r="S61" s="78">
        <v>118385.4</v>
      </c>
      <c r="T61" s="78">
        <v>130583.73000000001</v>
      </c>
      <c r="U61" s="107"/>
      <c r="V61" s="90"/>
      <c r="W61" s="94"/>
      <c r="X61" s="94" t="s">
        <v>30</v>
      </c>
      <c r="Y61" s="94">
        <v>39785.158500000005</v>
      </c>
    </row>
    <row r="62" spans="1:25" ht="15" thickBot="1" x14ac:dyDescent="0.2">
      <c r="A62" s="18" t="s">
        <v>22</v>
      </c>
      <c r="B62" s="14"/>
      <c r="C62" s="50"/>
      <c r="D62" s="50"/>
      <c r="E62" s="50"/>
      <c r="F62" s="107"/>
      <c r="G62" s="104"/>
      <c r="H62" s="50"/>
      <c r="I62" s="50"/>
      <c r="J62" s="50"/>
      <c r="K62" s="107"/>
      <c r="L62" s="50"/>
      <c r="M62" s="50"/>
      <c r="N62" s="50"/>
      <c r="O62" s="50"/>
      <c r="P62" s="107"/>
      <c r="Q62" s="50"/>
      <c r="R62" s="50"/>
      <c r="S62" s="50"/>
      <c r="T62" s="50"/>
      <c r="U62" s="107"/>
      <c r="V62" s="50"/>
      <c r="W62" s="50"/>
      <c r="X62" s="50"/>
      <c r="Y62" s="50"/>
    </row>
    <row r="63" spans="1:25" ht="15" thickBot="1" x14ac:dyDescent="0.2">
      <c r="A63" s="16" t="s">
        <v>89</v>
      </c>
      <c r="B63" s="90"/>
      <c r="C63" s="75"/>
      <c r="D63" s="75">
        <v>86075.200499999992</v>
      </c>
      <c r="E63" s="75" t="s">
        <v>30</v>
      </c>
      <c r="F63" s="107"/>
      <c r="G63" s="101"/>
      <c r="H63" s="48"/>
      <c r="I63" s="48" t="s">
        <v>30</v>
      </c>
      <c r="J63" s="48">
        <v>153171.72</v>
      </c>
      <c r="K63" s="107"/>
      <c r="L63" s="91" t="s">
        <v>53</v>
      </c>
      <c r="M63" s="48"/>
      <c r="N63" s="48">
        <v>176431.62</v>
      </c>
      <c r="O63" s="48">
        <v>180038.39</v>
      </c>
      <c r="P63" s="107"/>
      <c r="Q63" s="91" t="s">
        <v>53</v>
      </c>
      <c r="R63" s="78"/>
      <c r="S63" s="78">
        <v>185081.4</v>
      </c>
      <c r="T63" s="78">
        <v>248226.73</v>
      </c>
      <c r="U63" s="107"/>
      <c r="V63" s="34" t="s">
        <v>51</v>
      </c>
      <c r="W63" s="94"/>
      <c r="X63" s="94">
        <v>123023.25200000001</v>
      </c>
      <c r="Y63" s="94">
        <v>83822.165999999997</v>
      </c>
    </row>
    <row r="64" spans="1:25" ht="15" thickBot="1" x14ac:dyDescent="0.2">
      <c r="A64" s="16" t="s">
        <v>24</v>
      </c>
      <c r="B64" s="92" t="s">
        <v>51</v>
      </c>
      <c r="C64" s="75"/>
      <c r="D64" s="75">
        <v>59035.870499999997</v>
      </c>
      <c r="E64" s="75">
        <v>56918.695</v>
      </c>
      <c r="F64" s="107"/>
      <c r="G64" s="103" t="s">
        <v>51</v>
      </c>
      <c r="H64" s="48"/>
      <c r="I64" s="48">
        <v>140488.01999999999</v>
      </c>
      <c r="J64" s="48">
        <v>117098.67</v>
      </c>
      <c r="K64" s="107"/>
      <c r="L64" s="92" t="s">
        <v>51</v>
      </c>
      <c r="M64" s="48"/>
      <c r="N64" s="48">
        <v>109310.89499999999</v>
      </c>
      <c r="O64" s="48">
        <v>105482.61500000001</v>
      </c>
      <c r="P64" s="107"/>
      <c r="Q64" s="90"/>
      <c r="R64" s="79"/>
      <c r="S64" s="79" t="s">
        <v>30</v>
      </c>
      <c r="T64" s="78">
        <v>201169.53000000003</v>
      </c>
      <c r="U64" s="107"/>
      <c r="V64" s="37" t="s">
        <v>53</v>
      </c>
      <c r="W64" s="94"/>
      <c r="X64" s="94">
        <v>62493.194500000005</v>
      </c>
      <c r="Y64" s="94">
        <v>64081.438500000004</v>
      </c>
    </row>
    <row r="65" spans="1:25" ht="15" thickBot="1" x14ac:dyDescent="0.2">
      <c r="A65" s="16" t="s">
        <v>29</v>
      </c>
      <c r="B65" s="90"/>
      <c r="C65" s="75"/>
      <c r="D65" s="75" t="s">
        <v>30</v>
      </c>
      <c r="E65" s="75">
        <v>56918.695</v>
      </c>
      <c r="F65" s="107"/>
      <c r="G65" s="101"/>
      <c r="H65" s="48"/>
      <c r="I65" s="48" t="s">
        <v>30</v>
      </c>
      <c r="J65" s="48">
        <v>105999.26999999999</v>
      </c>
      <c r="K65" s="107"/>
      <c r="L65" s="92" t="s">
        <v>51</v>
      </c>
      <c r="M65" s="48"/>
      <c r="N65" s="48">
        <v>109310.89499999999</v>
      </c>
      <c r="O65" s="48">
        <v>94437.315000000002</v>
      </c>
      <c r="P65" s="107"/>
      <c r="Q65" s="90"/>
      <c r="R65" s="78"/>
      <c r="S65" s="78">
        <v>50022</v>
      </c>
      <c r="T65" s="79" t="s">
        <v>30</v>
      </c>
      <c r="U65" s="107"/>
      <c r="V65" s="37" t="s">
        <v>53</v>
      </c>
      <c r="W65" s="94"/>
      <c r="X65" s="94">
        <v>62493.194500000005</v>
      </c>
      <c r="Y65" s="94">
        <v>83822.165999999997</v>
      </c>
    </row>
    <row r="66" spans="1:25" ht="15" thickBot="1" x14ac:dyDescent="0.2">
      <c r="A66" s="16" t="s">
        <v>28</v>
      </c>
      <c r="B66" s="93" t="s">
        <v>52</v>
      </c>
      <c r="C66" s="75"/>
      <c r="D66" s="75">
        <v>50022.760499999997</v>
      </c>
      <c r="E66" s="75">
        <v>49379.794999999998</v>
      </c>
      <c r="F66" s="107"/>
      <c r="G66" s="103" t="s">
        <v>51</v>
      </c>
      <c r="H66" s="48"/>
      <c r="I66" s="48">
        <v>87222.42</v>
      </c>
      <c r="J66" s="48">
        <v>83800.47</v>
      </c>
      <c r="K66" s="107"/>
      <c r="L66" s="91" t="s">
        <v>53</v>
      </c>
      <c r="M66" s="48"/>
      <c r="N66" s="48">
        <v>83741.094999999987</v>
      </c>
      <c r="O66" s="48">
        <v>94437.315000000002</v>
      </c>
      <c r="P66" s="107"/>
      <c r="Q66" s="91" t="s">
        <v>53</v>
      </c>
      <c r="R66" s="78"/>
      <c r="S66" s="78">
        <v>50022</v>
      </c>
      <c r="T66" s="78">
        <v>83526.530000000013</v>
      </c>
      <c r="U66" s="107"/>
      <c r="V66" s="34" t="s">
        <v>51</v>
      </c>
      <c r="W66" s="94"/>
      <c r="X66" s="94">
        <v>55949.404500000004</v>
      </c>
      <c r="Y66" s="94">
        <v>45859.228500000005</v>
      </c>
    </row>
    <row r="67" spans="1:25" ht="15" thickBot="1" x14ac:dyDescent="0.2">
      <c r="A67" s="16" t="s">
        <v>25</v>
      </c>
      <c r="B67" s="92" t="s">
        <v>51</v>
      </c>
      <c r="C67" s="75"/>
      <c r="D67" s="75">
        <v>41009.650499999996</v>
      </c>
      <c r="E67" s="75">
        <v>34301.994999999995</v>
      </c>
      <c r="F67" s="107"/>
      <c r="G67" s="102" t="s">
        <v>53</v>
      </c>
      <c r="H67" s="48"/>
      <c r="I67" s="48">
        <v>60589.619999999995</v>
      </c>
      <c r="J67" s="48">
        <v>72701.069999999992</v>
      </c>
      <c r="K67" s="107"/>
      <c r="L67" s="93" t="s">
        <v>52</v>
      </c>
      <c r="M67" s="48"/>
      <c r="N67" s="48">
        <v>70956.194999999992</v>
      </c>
      <c r="O67" s="48">
        <v>72346.714999999997</v>
      </c>
      <c r="P67" s="107"/>
      <c r="Q67" s="92" t="s">
        <v>51</v>
      </c>
      <c r="R67" s="78"/>
      <c r="S67" s="78">
        <v>50022</v>
      </c>
      <c r="T67" s="78">
        <v>35292.9</v>
      </c>
      <c r="U67" s="107"/>
      <c r="V67" s="34" t="s">
        <v>51</v>
      </c>
      <c r="W67" s="94"/>
      <c r="X67" s="94">
        <v>49405.614500000003</v>
      </c>
      <c r="Y67" s="94">
        <v>39785.158500000005</v>
      </c>
    </row>
    <row r="68" spans="1:25" ht="15" thickBot="1" x14ac:dyDescent="0.2">
      <c r="A68" s="16" t="s">
        <v>27</v>
      </c>
      <c r="B68" s="93" t="s">
        <v>52</v>
      </c>
      <c r="C68" s="75"/>
      <c r="D68" s="75">
        <v>50022.760499999997</v>
      </c>
      <c r="E68" s="75">
        <v>49379.794999999998</v>
      </c>
      <c r="F68" s="107"/>
      <c r="G68" s="102" t="s">
        <v>53</v>
      </c>
      <c r="H68" s="48"/>
      <c r="I68" s="48">
        <v>87222.42</v>
      </c>
      <c r="J68" s="48">
        <v>94899.87</v>
      </c>
      <c r="K68" s="107"/>
      <c r="L68" s="91" t="s">
        <v>53</v>
      </c>
      <c r="M68" s="48"/>
      <c r="N68" s="48">
        <v>70956.194999999992</v>
      </c>
      <c r="O68" s="48">
        <v>94437.315000000002</v>
      </c>
      <c r="P68" s="107"/>
      <c r="Q68" s="91" t="s">
        <v>53</v>
      </c>
      <c r="R68" s="78"/>
      <c r="S68" s="78">
        <v>50022</v>
      </c>
      <c r="T68" s="78">
        <v>83526.530000000013</v>
      </c>
      <c r="U68" s="107"/>
      <c r="V68" s="37" t="s">
        <v>53</v>
      </c>
      <c r="W68" s="94"/>
      <c r="X68" s="94">
        <v>42861.824500000002</v>
      </c>
      <c r="Y68" s="94">
        <v>51933.298500000004</v>
      </c>
    </row>
    <row r="69" spans="1:25" ht="15" thickBot="1" x14ac:dyDescent="0.2">
      <c r="A69" s="16" t="s">
        <v>23</v>
      </c>
      <c r="B69" s="93" t="s">
        <v>52</v>
      </c>
      <c r="C69" s="75"/>
      <c r="D69" s="75">
        <v>41009.650499999996</v>
      </c>
      <c r="E69" s="75">
        <v>41840.894999999997</v>
      </c>
      <c r="F69" s="107"/>
      <c r="G69" s="102" t="s">
        <v>53</v>
      </c>
      <c r="H69" s="48"/>
      <c r="I69" s="48">
        <v>60589.619999999995</v>
      </c>
      <c r="J69" s="48">
        <v>83800.47</v>
      </c>
      <c r="K69" s="107"/>
      <c r="L69" s="93" t="s">
        <v>52</v>
      </c>
      <c r="M69" s="48"/>
      <c r="N69" s="48">
        <v>70956.194999999992</v>
      </c>
      <c r="O69" s="48">
        <v>72346.714999999997</v>
      </c>
      <c r="P69" s="107"/>
      <c r="Q69" s="92" t="s">
        <v>51</v>
      </c>
      <c r="R69" s="78"/>
      <c r="S69" s="78">
        <v>50022</v>
      </c>
      <c r="T69" s="78">
        <v>35292.9</v>
      </c>
      <c r="U69" s="107"/>
      <c r="V69" s="37" t="s">
        <v>53</v>
      </c>
      <c r="W69" s="94"/>
      <c r="X69" s="94">
        <v>42861.824500000002</v>
      </c>
      <c r="Y69" s="94">
        <v>45859.228500000005</v>
      </c>
    </row>
    <row r="70" spans="1:25" ht="15" thickBot="1" x14ac:dyDescent="0.2">
      <c r="A70" s="16" t="s">
        <v>90</v>
      </c>
      <c r="B70" s="90"/>
      <c r="C70" s="75"/>
      <c r="D70" s="75" t="s">
        <v>30</v>
      </c>
      <c r="E70" s="75">
        <v>41840.894999999997</v>
      </c>
      <c r="F70" s="107"/>
      <c r="G70" s="101"/>
      <c r="H70" s="48"/>
      <c r="I70" s="48" t="s">
        <v>30</v>
      </c>
      <c r="J70" s="48">
        <v>61601.67</v>
      </c>
      <c r="K70" s="107"/>
      <c r="L70" s="90"/>
      <c r="M70" s="48"/>
      <c r="N70" s="48" t="s">
        <v>130</v>
      </c>
      <c r="O70" s="48">
        <v>61301.415000000001</v>
      </c>
      <c r="P70" s="107"/>
      <c r="Q70" s="92" t="s">
        <v>51</v>
      </c>
      <c r="R70" s="78"/>
      <c r="S70" s="78">
        <v>50022</v>
      </c>
      <c r="T70" s="78">
        <v>35292.9</v>
      </c>
      <c r="U70" s="107"/>
      <c r="V70" s="90"/>
      <c r="W70" s="94"/>
      <c r="X70" s="94">
        <v>62493.194500000005</v>
      </c>
      <c r="Y70" s="94" t="s">
        <v>30</v>
      </c>
    </row>
    <row r="71" spans="1:25" ht="15" thickBot="1" x14ac:dyDescent="0.2">
      <c r="A71" s="16" t="s">
        <v>26</v>
      </c>
      <c r="B71" s="91" t="s">
        <v>53</v>
      </c>
      <c r="C71" s="75"/>
      <c r="D71" s="75">
        <v>31996.540499999999</v>
      </c>
      <c r="E71" s="75">
        <v>41840.894999999997</v>
      </c>
      <c r="F71" s="107"/>
      <c r="G71" s="103" t="s">
        <v>51</v>
      </c>
      <c r="H71" s="48"/>
      <c r="I71" s="48">
        <v>113855.22</v>
      </c>
      <c r="J71" s="48">
        <v>94899.87</v>
      </c>
      <c r="K71" s="107"/>
      <c r="L71" s="90"/>
      <c r="M71" s="48"/>
      <c r="N71" s="48" t="s">
        <v>130</v>
      </c>
      <c r="O71" s="48" t="s">
        <v>30</v>
      </c>
      <c r="P71" s="107"/>
      <c r="Q71" s="92" t="s">
        <v>51</v>
      </c>
      <c r="R71" s="78"/>
      <c r="S71" s="78">
        <v>50022</v>
      </c>
      <c r="T71" s="78">
        <v>35292.9</v>
      </c>
      <c r="U71" s="107"/>
      <c r="V71" s="90"/>
      <c r="W71" s="94"/>
      <c r="X71" s="94">
        <v>49405.614500000003</v>
      </c>
      <c r="Y71" s="94" t="s">
        <v>30</v>
      </c>
    </row>
    <row r="72" spans="1:25" ht="15" thickBot="1" x14ac:dyDescent="0.2">
      <c r="A72" s="16" t="s">
        <v>91</v>
      </c>
      <c r="B72" s="90"/>
      <c r="C72" s="75"/>
      <c r="D72" s="75" t="s">
        <v>30</v>
      </c>
      <c r="E72" s="75" t="s">
        <v>30</v>
      </c>
      <c r="F72" s="107"/>
      <c r="G72" s="103" t="s">
        <v>51</v>
      </c>
      <c r="H72" s="48"/>
      <c r="I72" s="48">
        <v>87222.42</v>
      </c>
      <c r="J72" s="48">
        <v>61601.67</v>
      </c>
      <c r="K72" s="107"/>
      <c r="L72" s="90"/>
      <c r="M72" s="48"/>
      <c r="N72" s="48">
        <v>58171.294999999998</v>
      </c>
      <c r="O72" s="48" t="s">
        <v>30</v>
      </c>
      <c r="P72" s="107"/>
      <c r="Q72" s="92" t="s">
        <v>51</v>
      </c>
      <c r="R72" s="78"/>
      <c r="S72" s="78">
        <v>50022</v>
      </c>
      <c r="T72" s="78">
        <v>35292.9</v>
      </c>
      <c r="U72" s="107"/>
      <c r="V72" s="37" t="s">
        <v>53</v>
      </c>
      <c r="W72" s="94"/>
      <c r="X72" s="94">
        <v>36318.034500000002</v>
      </c>
      <c r="Y72" s="94">
        <v>39785.158500000005</v>
      </c>
    </row>
    <row r="73" spans="1:25" s="7" customFormat="1" x14ac:dyDescent="0.15">
      <c r="A73" s="73"/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25" x14ac:dyDescent="0.15">
      <c r="A74" s="10" t="s">
        <v>67</v>
      </c>
      <c r="B74" s="10"/>
      <c r="G74" s="10"/>
      <c r="L74" s="10"/>
      <c r="Q74" s="10"/>
    </row>
    <row r="75" spans="1:25" x14ac:dyDescent="0.15">
      <c r="B75" s="10"/>
      <c r="G75" s="10"/>
      <c r="L75" s="10"/>
      <c r="Q75" s="10"/>
    </row>
    <row r="76" spans="1:25" x14ac:dyDescent="0.15">
      <c r="B76" s="10"/>
      <c r="G76" s="10"/>
      <c r="L76" s="10"/>
      <c r="Q76" s="10"/>
    </row>
    <row r="77" spans="1:25" ht="15" x14ac:dyDescent="0.2">
      <c r="A77" s="47" t="s">
        <v>157</v>
      </c>
      <c r="B77" s="10"/>
      <c r="C77" s="160" t="s">
        <v>145</v>
      </c>
      <c r="D77" s="160"/>
      <c r="E77" s="160"/>
      <c r="G77" s="160" t="s">
        <v>146</v>
      </c>
      <c r="H77" s="160"/>
      <c r="I77" s="160"/>
      <c r="L77" s="160" t="s">
        <v>147</v>
      </c>
      <c r="M77" s="161"/>
      <c r="N77" s="161"/>
      <c r="R77" s="160" t="s">
        <v>148</v>
      </c>
      <c r="S77" s="160"/>
      <c r="T77" s="160"/>
      <c r="W77" s="160" t="s">
        <v>158</v>
      </c>
      <c r="X77" s="161"/>
      <c r="Y77" s="161"/>
    </row>
    <row r="78" spans="1:25" ht="15" thickBot="1" x14ac:dyDescent="0.2">
      <c r="A78" s="77"/>
      <c r="B78" s="43" t="s">
        <v>149</v>
      </c>
      <c r="C78" s="43">
        <v>2016</v>
      </c>
      <c r="D78" s="43">
        <v>2015</v>
      </c>
      <c r="E78" s="43">
        <v>2014</v>
      </c>
      <c r="G78" s="43">
        <v>2016</v>
      </c>
      <c r="H78" s="43">
        <v>2015</v>
      </c>
      <c r="I78" s="43">
        <v>2014</v>
      </c>
      <c r="L78" s="81">
        <v>2016</v>
      </c>
      <c r="M78" s="81">
        <v>2015</v>
      </c>
      <c r="N78" s="81">
        <v>2014</v>
      </c>
      <c r="R78" s="43">
        <v>2016</v>
      </c>
      <c r="S78" s="43">
        <v>2015</v>
      </c>
      <c r="T78" s="43">
        <v>2014</v>
      </c>
      <c r="W78" s="81">
        <v>2016</v>
      </c>
      <c r="X78" s="81">
        <v>2015</v>
      </c>
      <c r="Y78" s="81">
        <v>2014</v>
      </c>
    </row>
    <row r="79" spans="1:25" ht="15" thickBot="1" x14ac:dyDescent="0.2">
      <c r="A79" s="77" t="s">
        <v>124</v>
      </c>
      <c r="B79" s="76">
        <v>15000</v>
      </c>
      <c r="C79" s="75"/>
      <c r="D79" s="75">
        <v>13519.664999999999</v>
      </c>
      <c r="E79" s="75">
        <v>11308.349999999999</v>
      </c>
      <c r="F79" s="71"/>
      <c r="G79" s="48"/>
      <c r="H79" s="48">
        <v>19974.599999999999</v>
      </c>
      <c r="I79" s="48">
        <v>16649.099999999999</v>
      </c>
      <c r="J79" s="72"/>
      <c r="L79" s="48"/>
      <c r="M79" s="48">
        <v>19177.349999999999</v>
      </c>
      <c r="N79" s="48">
        <v>16567.95</v>
      </c>
      <c r="R79" s="78"/>
      <c r="S79" s="78">
        <v>50022</v>
      </c>
      <c r="T79" s="78">
        <v>35292.9</v>
      </c>
      <c r="W79" s="78"/>
      <c r="X79" s="78" t="s">
        <v>159</v>
      </c>
      <c r="Y79" s="78" t="s">
        <v>160</v>
      </c>
    </row>
    <row r="80" spans="1:25" ht="15" thickBot="1" x14ac:dyDescent="0.2">
      <c r="A80" s="77" t="s">
        <v>44</v>
      </c>
      <c r="B80" s="76">
        <v>35500</v>
      </c>
      <c r="C80" s="75"/>
      <c r="D80" s="75">
        <v>31996.540499999999</v>
      </c>
      <c r="E80" s="75">
        <v>26763.094999999998</v>
      </c>
      <c r="F80" s="71"/>
      <c r="G80" s="48"/>
      <c r="H80" s="48">
        <v>47273.22</v>
      </c>
      <c r="I80" s="48">
        <v>39402.869999999995</v>
      </c>
      <c r="J80" s="72"/>
      <c r="L80" s="48"/>
      <c r="M80" s="48">
        <v>45386.394999999997</v>
      </c>
      <c r="N80" s="48">
        <v>39210.815000000002</v>
      </c>
      <c r="R80" s="78"/>
      <c r="S80" s="78">
        <v>118385.4</v>
      </c>
      <c r="T80" s="78">
        <v>83526.530000000013</v>
      </c>
      <c r="W80" s="78"/>
      <c r="X80" s="78" t="s">
        <v>161</v>
      </c>
      <c r="Y80" s="78" t="s">
        <v>162</v>
      </c>
    </row>
    <row r="81" spans="1:25" ht="15" thickBot="1" x14ac:dyDescent="0.2">
      <c r="A81" s="77" t="s">
        <v>46</v>
      </c>
      <c r="B81" s="76">
        <v>45500</v>
      </c>
      <c r="C81" s="75"/>
      <c r="D81" s="75">
        <v>41009.650499999996</v>
      </c>
      <c r="E81" s="75">
        <v>34301.994999999995</v>
      </c>
      <c r="F81" s="71"/>
      <c r="G81" s="48"/>
      <c r="H81" s="48">
        <v>60589.619999999995</v>
      </c>
      <c r="I81" s="48">
        <v>50502.27</v>
      </c>
      <c r="J81" s="72"/>
      <c r="L81" s="48"/>
      <c r="M81" s="48">
        <v>58171.294999999998</v>
      </c>
      <c r="N81" s="48">
        <v>50256.114999999998</v>
      </c>
      <c r="R81" s="78"/>
      <c r="S81" s="78">
        <v>151733.4</v>
      </c>
      <c r="T81" s="78">
        <v>107055.13</v>
      </c>
      <c r="W81" s="78"/>
      <c r="X81" s="78" t="s">
        <v>163</v>
      </c>
      <c r="Y81" s="78" t="s">
        <v>164</v>
      </c>
    </row>
    <row r="82" spans="1:25" ht="15" thickBot="1" x14ac:dyDescent="0.2">
      <c r="A82" s="77" t="s">
        <v>41</v>
      </c>
      <c r="B82" s="76">
        <v>55500</v>
      </c>
      <c r="C82" s="75"/>
      <c r="D82" s="75">
        <v>50022.760499999997</v>
      </c>
      <c r="E82" s="75">
        <v>41840.894999999997</v>
      </c>
      <c r="F82" s="71"/>
      <c r="G82" s="48"/>
      <c r="H82" s="48">
        <v>73906.01999999999</v>
      </c>
      <c r="I82" s="48">
        <v>61601.67</v>
      </c>
      <c r="J82" s="72"/>
      <c r="L82" s="48"/>
      <c r="M82" s="48">
        <v>70956.194999999992</v>
      </c>
      <c r="N82" s="48">
        <v>61301.415000000001</v>
      </c>
      <c r="R82" s="78"/>
      <c r="S82" s="78">
        <v>185081.4</v>
      </c>
      <c r="T82" s="78">
        <v>130583.73000000001</v>
      </c>
      <c r="W82" s="78"/>
      <c r="X82" s="78" t="s">
        <v>165</v>
      </c>
      <c r="Y82" s="78" t="s">
        <v>166</v>
      </c>
    </row>
    <row r="83" spans="1:25" ht="15" thickBot="1" x14ac:dyDescent="0.2">
      <c r="A83" s="77" t="s">
        <v>47</v>
      </c>
      <c r="B83" s="76">
        <v>65500</v>
      </c>
      <c r="C83" s="75"/>
      <c r="D83" s="75">
        <v>59035.870499999997</v>
      </c>
      <c r="E83" s="75">
        <v>49379.794999999998</v>
      </c>
      <c r="F83" s="71"/>
      <c r="G83" s="48"/>
      <c r="H83" s="48">
        <v>87222.42</v>
      </c>
      <c r="I83" s="48">
        <v>72701.069999999992</v>
      </c>
      <c r="J83" s="72"/>
      <c r="L83" s="48"/>
      <c r="M83" s="48">
        <v>83741.094999999987</v>
      </c>
      <c r="N83" s="48">
        <v>72346.714999999997</v>
      </c>
      <c r="R83" s="78"/>
      <c r="S83" s="78">
        <v>218429.4</v>
      </c>
      <c r="T83" s="78">
        <v>154112.33000000002</v>
      </c>
      <c r="W83" s="78"/>
      <c r="X83" s="78" t="s">
        <v>167</v>
      </c>
      <c r="Y83" s="78" t="s">
        <v>168</v>
      </c>
    </row>
    <row r="84" spans="1:25" ht="15" thickBot="1" x14ac:dyDescent="0.2">
      <c r="A84" s="77" t="s">
        <v>40</v>
      </c>
      <c r="B84" s="76">
        <v>75500</v>
      </c>
      <c r="C84" s="75"/>
      <c r="D84" s="75">
        <v>68048.980500000005</v>
      </c>
      <c r="E84" s="75">
        <v>56918.695</v>
      </c>
      <c r="F84" s="71"/>
      <c r="G84" s="48"/>
      <c r="H84" s="48">
        <v>100538.81999999999</v>
      </c>
      <c r="I84" s="48">
        <v>83800.47</v>
      </c>
      <c r="J84" s="72"/>
      <c r="L84" s="48"/>
      <c r="M84" s="48">
        <v>96525.994999999995</v>
      </c>
      <c r="N84" s="48">
        <v>83392.014999999999</v>
      </c>
      <c r="R84" s="78"/>
      <c r="S84" s="78">
        <v>251777.4</v>
      </c>
      <c r="T84" s="78">
        <v>177640.93000000002</v>
      </c>
      <c r="W84" s="78"/>
      <c r="X84" s="78" t="s">
        <v>169</v>
      </c>
      <c r="Y84" s="78" t="s">
        <v>170</v>
      </c>
    </row>
    <row r="85" spans="1:25" ht="15" thickBot="1" x14ac:dyDescent="0.2">
      <c r="A85" s="77" t="s">
        <v>43</v>
      </c>
      <c r="B85" s="76">
        <v>85500</v>
      </c>
      <c r="C85" s="75"/>
      <c r="D85" s="75">
        <v>77062.090499999991</v>
      </c>
      <c r="E85" s="75">
        <v>64457.594999999994</v>
      </c>
      <c r="F85" s="71"/>
      <c r="G85" s="48"/>
      <c r="H85" s="48">
        <v>113855.22</v>
      </c>
      <c r="I85" s="48">
        <v>94899.87</v>
      </c>
      <c r="J85" s="72"/>
      <c r="L85" s="48"/>
      <c r="M85" s="48">
        <v>109310.89499999999</v>
      </c>
      <c r="N85" s="48">
        <v>94437.315000000002</v>
      </c>
      <c r="R85" s="78"/>
      <c r="S85" s="78">
        <v>285125.40000000002</v>
      </c>
      <c r="T85" s="78">
        <v>201169.53000000003</v>
      </c>
      <c r="W85" s="78"/>
      <c r="X85" s="78" t="s">
        <v>171</v>
      </c>
      <c r="Y85" s="78" t="s">
        <v>172</v>
      </c>
    </row>
    <row r="86" spans="1:25" ht="15" thickBot="1" x14ac:dyDescent="0.2">
      <c r="A86" s="77" t="s">
        <v>39</v>
      </c>
      <c r="B86" s="76">
        <v>95500</v>
      </c>
      <c r="C86" s="75"/>
      <c r="D86" s="75">
        <v>86075.200499999992</v>
      </c>
      <c r="E86" s="75">
        <v>71996.494999999995</v>
      </c>
      <c r="F86" s="71"/>
      <c r="G86" s="48"/>
      <c r="H86" s="48">
        <v>127171.62</v>
      </c>
      <c r="I86" s="48">
        <v>105999.26999999999</v>
      </c>
      <c r="J86" s="72"/>
      <c r="L86" s="48"/>
      <c r="M86" s="48">
        <v>122095.79499999998</v>
      </c>
      <c r="N86" s="48">
        <v>105482.61500000001</v>
      </c>
      <c r="R86" s="78"/>
      <c r="S86" s="78">
        <v>318473.40000000002</v>
      </c>
      <c r="T86" s="78">
        <v>224698.13</v>
      </c>
      <c r="W86" s="78"/>
      <c r="X86" s="78" t="s">
        <v>173</v>
      </c>
      <c r="Y86" s="78" t="s">
        <v>174</v>
      </c>
    </row>
    <row r="87" spans="1:25" ht="15" thickBot="1" x14ac:dyDescent="0.2">
      <c r="A87" s="77" t="s">
        <v>48</v>
      </c>
      <c r="B87" s="76">
        <v>105500</v>
      </c>
      <c r="C87" s="75"/>
      <c r="D87" s="75">
        <v>95088.310499999992</v>
      </c>
      <c r="E87" s="75">
        <v>79535.39499999999</v>
      </c>
      <c r="F87" s="71"/>
      <c r="G87" s="48"/>
      <c r="H87" s="48">
        <v>140488.01999999999</v>
      </c>
      <c r="I87" s="48">
        <v>117098.67</v>
      </c>
      <c r="J87" s="72"/>
      <c r="L87" s="48"/>
      <c r="M87" s="48">
        <v>134880.69499999998</v>
      </c>
      <c r="N87" s="48">
        <v>116527.91500000001</v>
      </c>
      <c r="R87" s="78"/>
      <c r="S87" s="78">
        <v>351821.4</v>
      </c>
      <c r="T87" s="78">
        <v>248226.73</v>
      </c>
      <c r="W87" s="78"/>
      <c r="X87" s="78" t="s">
        <v>175</v>
      </c>
      <c r="Y87" s="78" t="s">
        <v>176</v>
      </c>
    </row>
    <row r="88" spans="1:25" ht="15" thickBot="1" x14ac:dyDescent="0.2">
      <c r="A88" s="77" t="s">
        <v>42</v>
      </c>
      <c r="B88" s="76">
        <v>118000</v>
      </c>
      <c r="C88" s="75"/>
      <c r="D88" s="75">
        <v>106354.698</v>
      </c>
      <c r="E88" s="75">
        <v>88959.01999999999</v>
      </c>
      <c r="F88" s="71"/>
      <c r="G88" s="48"/>
      <c r="H88" s="48">
        <v>157133.51999999999</v>
      </c>
      <c r="I88" s="48">
        <v>130972.92</v>
      </c>
      <c r="J88" s="72"/>
      <c r="L88" s="48"/>
      <c r="M88" s="48">
        <v>150861.81999999998</v>
      </c>
      <c r="N88" s="48">
        <v>130334.54000000001</v>
      </c>
      <c r="R88" s="78"/>
      <c r="S88" s="78">
        <v>393506.4</v>
      </c>
      <c r="T88" s="78">
        <v>277637.48000000004</v>
      </c>
      <c r="W88" s="78"/>
      <c r="X88" s="78" t="s">
        <v>177</v>
      </c>
      <c r="Y88" s="78" t="s">
        <v>178</v>
      </c>
    </row>
    <row r="89" spans="1:25" ht="15" thickBot="1" x14ac:dyDescent="0.2">
      <c r="A89" s="77" t="s">
        <v>38</v>
      </c>
      <c r="B89" s="76">
        <v>138000</v>
      </c>
      <c r="C89" s="75"/>
      <c r="D89" s="75">
        <v>124380.91799999999</v>
      </c>
      <c r="E89" s="75">
        <v>104036.81999999999</v>
      </c>
      <c r="F89" s="71"/>
      <c r="G89" s="48"/>
      <c r="H89" s="48">
        <v>183766.31999999998</v>
      </c>
      <c r="I89" s="48">
        <v>153171.72</v>
      </c>
      <c r="J89" s="72"/>
      <c r="L89" s="48"/>
      <c r="M89" s="48">
        <v>176431.62</v>
      </c>
      <c r="N89" s="48">
        <v>152425.14000000001</v>
      </c>
      <c r="R89" s="78"/>
      <c r="S89" s="78">
        <v>460202.4</v>
      </c>
      <c r="T89" s="78">
        <v>324694.68000000005</v>
      </c>
      <c r="W89" s="78"/>
      <c r="X89" s="78" t="s">
        <v>179</v>
      </c>
      <c r="Y89" s="78" t="s">
        <v>180</v>
      </c>
    </row>
    <row r="90" spans="1:25" ht="15" thickBot="1" x14ac:dyDescent="0.2">
      <c r="A90" s="77" t="s">
        <v>45</v>
      </c>
      <c r="B90" s="76">
        <v>163000</v>
      </c>
      <c r="C90" s="75"/>
      <c r="D90" s="75">
        <v>146913.693</v>
      </c>
      <c r="E90" s="75">
        <v>122884.06999999999</v>
      </c>
      <c r="F90" s="71"/>
      <c r="G90" s="48"/>
      <c r="H90" s="48">
        <v>217057.31999999998</v>
      </c>
      <c r="I90" s="48">
        <v>180920.22</v>
      </c>
      <c r="J90" s="72"/>
      <c r="L90" s="48"/>
      <c r="M90" s="48">
        <v>208393.87</v>
      </c>
      <c r="N90" s="48">
        <v>180038.39</v>
      </c>
      <c r="R90" s="78"/>
      <c r="S90" s="78">
        <v>543572.4</v>
      </c>
      <c r="T90" s="78">
        <v>383516.18000000005</v>
      </c>
      <c r="W90" s="78"/>
      <c r="X90" s="78" t="s">
        <v>181</v>
      </c>
      <c r="Y90" s="78" t="s">
        <v>182</v>
      </c>
    </row>
    <row r="91" spans="1:25" ht="15" thickBot="1" x14ac:dyDescent="0.2">
      <c r="A91" s="77" t="s">
        <v>49</v>
      </c>
      <c r="B91" s="76">
        <v>188000</v>
      </c>
      <c r="C91" s="75"/>
      <c r="D91" s="75">
        <v>169446.46799999999</v>
      </c>
      <c r="E91" s="75">
        <v>141731.31999999998</v>
      </c>
      <c r="F91" s="71"/>
      <c r="G91" s="48"/>
      <c r="H91" s="48">
        <v>250348.31999999998</v>
      </c>
      <c r="I91" s="48">
        <v>208668.71999999997</v>
      </c>
      <c r="J91" s="72"/>
      <c r="L91" s="48"/>
      <c r="M91" s="48">
        <v>240356.12</v>
      </c>
      <c r="N91" s="48">
        <v>207651.64</v>
      </c>
      <c r="R91" s="78"/>
      <c r="S91" s="78">
        <v>626942.4</v>
      </c>
      <c r="T91" s="78">
        <v>442337.68000000005</v>
      </c>
      <c r="W91" s="78"/>
      <c r="X91" s="78" t="s">
        <v>183</v>
      </c>
      <c r="Y91" s="78" t="s">
        <v>184</v>
      </c>
    </row>
    <row r="92" spans="1:25" ht="15" thickBot="1" x14ac:dyDescent="0.2">
      <c r="A92" s="77" t="s">
        <v>37</v>
      </c>
      <c r="B92" s="76">
        <v>225500</v>
      </c>
      <c r="C92" s="75"/>
      <c r="D92" s="75">
        <v>203245.6305</v>
      </c>
      <c r="E92" s="75">
        <v>170002.19499999998</v>
      </c>
      <c r="F92" s="71"/>
      <c r="G92" s="48"/>
      <c r="H92" s="48">
        <v>300284.82</v>
      </c>
      <c r="I92" s="48">
        <v>250291.46999999997</v>
      </c>
      <c r="J92" s="72"/>
      <c r="L92" s="48"/>
      <c r="M92" s="48">
        <v>288299.495</v>
      </c>
      <c r="N92" s="48">
        <v>249071.51500000001</v>
      </c>
      <c r="R92" s="78"/>
      <c r="S92" s="78">
        <v>751997.4</v>
      </c>
      <c r="T92" s="78">
        <v>530569.93000000005</v>
      </c>
      <c r="W92" s="78"/>
      <c r="X92" s="78" t="s">
        <v>185</v>
      </c>
      <c r="Y92" s="78" t="s">
        <v>186</v>
      </c>
    </row>
    <row r="93" spans="1:25" ht="15" thickBot="1" x14ac:dyDescent="0.2">
      <c r="A93" s="77" t="s">
        <v>122</v>
      </c>
      <c r="B93" s="76">
        <v>251000</v>
      </c>
      <c r="C93" s="75"/>
      <c r="D93" s="75">
        <v>226229.06099999999</v>
      </c>
      <c r="E93" s="75">
        <v>189226.38999999998</v>
      </c>
      <c r="F93" s="71"/>
      <c r="G93" s="48"/>
      <c r="H93" s="48">
        <v>334241.63999999996</v>
      </c>
      <c r="I93" s="48">
        <v>278594.94</v>
      </c>
      <c r="J93" s="72"/>
      <c r="L93" s="48"/>
      <c r="M93" s="48">
        <v>320900.99</v>
      </c>
      <c r="N93" s="48">
        <v>277237.03000000003</v>
      </c>
      <c r="R93" s="78"/>
      <c r="S93" s="78">
        <v>837034.8</v>
      </c>
      <c r="T93" s="78">
        <v>590567.86</v>
      </c>
      <c r="W93" s="78"/>
      <c r="X93" s="78" t="s">
        <v>187</v>
      </c>
      <c r="Y93" s="78" t="s">
        <v>188</v>
      </c>
    </row>
    <row r="94" spans="1:25" ht="15" thickBot="1" x14ac:dyDescent="0.2">
      <c r="A94" s="80">
        <v>10</v>
      </c>
      <c r="B94" s="77"/>
      <c r="C94" s="75"/>
      <c r="D94" s="75">
        <v>7.5315300000000001</v>
      </c>
      <c r="E94" s="75">
        <v>7.5388999999999999</v>
      </c>
      <c r="G94" s="48"/>
      <c r="H94" s="48">
        <v>10.3689</v>
      </c>
      <c r="I94" s="48">
        <v>11.099399999999999</v>
      </c>
      <c r="L94" s="48"/>
      <c r="M94" s="48">
        <v>10.3019</v>
      </c>
      <c r="N94" s="48">
        <v>11.045300000000001</v>
      </c>
      <c r="R94" s="78"/>
      <c r="S94" s="78">
        <v>21.593300000000003</v>
      </c>
      <c r="T94" s="78">
        <v>23.528600000000001</v>
      </c>
      <c r="W94" s="78"/>
      <c r="X94" s="78" t="s">
        <v>189</v>
      </c>
      <c r="Y94" s="78" t="s">
        <v>190</v>
      </c>
    </row>
    <row r="95" spans="1:25" ht="15" thickBot="1" x14ac:dyDescent="0.2">
      <c r="A95" s="80">
        <v>12</v>
      </c>
      <c r="B95" s="10"/>
      <c r="C95" s="75"/>
      <c r="D95" s="75">
        <v>9.0378359999999986</v>
      </c>
      <c r="E95" s="75">
        <v>9.0466799999999985</v>
      </c>
      <c r="G95" s="48"/>
      <c r="H95" s="48">
        <v>12.442680000000001</v>
      </c>
      <c r="I95" s="48">
        <v>13.319279999999999</v>
      </c>
      <c r="L95" s="48"/>
      <c r="M95" s="48">
        <v>12.362279999999998</v>
      </c>
      <c r="N95" s="48">
        <v>13.25436</v>
      </c>
      <c r="R95" s="78"/>
      <c r="S95" s="78">
        <v>25.911960000000001</v>
      </c>
      <c r="T95" s="78">
        <v>28.234320000000004</v>
      </c>
      <c r="W95" s="78"/>
      <c r="X95" s="78" t="s">
        <v>191</v>
      </c>
      <c r="Y95" s="78" t="s">
        <v>189</v>
      </c>
    </row>
    <row r="96" spans="1:25" ht="15" thickBot="1" x14ac:dyDescent="0.2">
      <c r="A96" s="80">
        <v>15</v>
      </c>
      <c r="B96" s="10"/>
      <c r="C96" s="75"/>
      <c r="D96" s="75">
        <v>11.297295</v>
      </c>
      <c r="E96" s="75">
        <v>11.308349999999999</v>
      </c>
      <c r="G96" s="48"/>
      <c r="H96" s="48">
        <v>15.553350000000002</v>
      </c>
      <c r="I96" s="48">
        <v>16.649099999999997</v>
      </c>
      <c r="L96" s="48"/>
      <c r="M96" s="48">
        <v>15.45285</v>
      </c>
      <c r="N96" s="48">
        <v>16.56795</v>
      </c>
      <c r="R96" s="78"/>
      <c r="S96" s="78">
        <v>32.389950000000006</v>
      </c>
      <c r="T96" s="78">
        <v>35.292900000000003</v>
      </c>
      <c r="W96" s="78"/>
      <c r="X96" s="78" t="s">
        <v>192</v>
      </c>
      <c r="Y96" s="78" t="s">
        <v>193</v>
      </c>
    </row>
    <row r="97" spans="2:17" x14ac:dyDescent="0.15">
      <c r="B97" s="10"/>
      <c r="G97" s="10"/>
      <c r="L97" s="10"/>
      <c r="Q97" s="10"/>
    </row>
    <row r="98" spans="2:17" x14ac:dyDescent="0.15">
      <c r="B98" s="10"/>
      <c r="G98" s="10"/>
      <c r="L98" s="10"/>
      <c r="Q98" s="10"/>
    </row>
    <row r="99" spans="2:17" x14ac:dyDescent="0.15">
      <c r="B99" s="10"/>
      <c r="G99" s="10"/>
      <c r="L99" s="10"/>
      <c r="Q99" s="10"/>
    </row>
    <row r="100" spans="2:17" x14ac:dyDescent="0.15">
      <c r="B100" s="10"/>
      <c r="G100" s="10"/>
      <c r="L100" s="10"/>
      <c r="Q100" s="10"/>
    </row>
    <row r="101" spans="2:17" x14ac:dyDescent="0.15">
      <c r="B101" s="10"/>
      <c r="G101" s="10"/>
      <c r="L101" s="10"/>
      <c r="Q101" s="10"/>
    </row>
    <row r="102" spans="2:17" x14ac:dyDescent="0.15">
      <c r="B102" s="10"/>
      <c r="G102" s="10"/>
      <c r="L102" s="10"/>
      <c r="Q102" s="10"/>
    </row>
    <row r="103" spans="2:17" x14ac:dyDescent="0.15">
      <c r="B103" s="10"/>
      <c r="G103" s="10"/>
      <c r="L103" s="10"/>
      <c r="Q103" s="10"/>
    </row>
    <row r="104" spans="2:17" x14ac:dyDescent="0.15">
      <c r="B104" s="10"/>
      <c r="G104" s="10"/>
      <c r="L104" s="10"/>
      <c r="Q104" s="10"/>
    </row>
    <row r="105" spans="2:17" x14ac:dyDescent="0.15">
      <c r="B105" s="10"/>
      <c r="G105" s="10"/>
      <c r="L105" s="10"/>
      <c r="Q105" s="10"/>
    </row>
    <row r="106" spans="2:17" x14ac:dyDescent="0.15">
      <c r="B106" s="10"/>
      <c r="G106" s="10"/>
      <c r="L106" s="10"/>
      <c r="Q106" s="10"/>
    </row>
    <row r="107" spans="2:17" x14ac:dyDescent="0.15">
      <c r="B107" s="10"/>
      <c r="G107" s="10"/>
      <c r="L107" s="10"/>
      <c r="Q107" s="10"/>
    </row>
    <row r="108" spans="2:17" x14ac:dyDescent="0.15">
      <c r="B108" s="10"/>
      <c r="G108" s="10"/>
      <c r="L108" s="10"/>
      <c r="Q108" s="10"/>
    </row>
  </sheetData>
  <mergeCells count="16">
    <mergeCell ref="C77:E77"/>
    <mergeCell ref="B14:E14"/>
    <mergeCell ref="A6:T6"/>
    <mergeCell ref="A1:A3"/>
    <mergeCell ref="B1:T2"/>
    <mergeCell ref="B3:T3"/>
    <mergeCell ref="A4:T4"/>
    <mergeCell ref="A5:T5"/>
    <mergeCell ref="V14:Y14"/>
    <mergeCell ref="L77:N77"/>
    <mergeCell ref="W77:Y77"/>
    <mergeCell ref="G14:J14"/>
    <mergeCell ref="L14:O14"/>
    <mergeCell ref="Q14:T14"/>
    <mergeCell ref="G77:I77"/>
    <mergeCell ref="R77:T77"/>
  </mergeCells>
  <pageMargins left="0.7" right="0.7" top="0.75" bottom="0.75" header="0.3" footer="0.3"/>
  <pageSetup paperSize="5" scale="42" orientation="landscape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Respondent Demographics</vt:lpstr>
      <vt:lpstr>Median By FTEs</vt:lpstr>
      <vt:lpstr>Median By Region</vt:lpstr>
      <vt:lpstr>Median Per Region 2014-2016</vt:lpstr>
      <vt:lpstr>Median by Countries_States</vt:lpstr>
      <vt:lpstr>Incentives by Region</vt:lpstr>
      <vt:lpstr>Incentives by FTEs</vt:lpstr>
      <vt:lpstr>FX Variations</vt:lpstr>
      <vt:lpstr>Median Adjusted by FX 2014-16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Ufuoma</dc:creator>
  <cp:lastModifiedBy>Amie Brown</cp:lastModifiedBy>
  <cp:lastPrinted>2016-03-31T20:26:24Z</cp:lastPrinted>
  <dcterms:created xsi:type="dcterms:W3CDTF">2013-12-20T23:06:06Z</dcterms:created>
  <dcterms:modified xsi:type="dcterms:W3CDTF">2017-04-14T19:34:19Z</dcterms:modified>
</cp:coreProperties>
</file>